
<file path=[Content_Types].xml><?xml version="1.0" encoding="utf-8"?>
<Types xmlns="http://schemas.openxmlformats.org/package/2006/content-types">
  <Default Extension="png" ContentType="image/png"/>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90" windowWidth="20730" windowHeight="11760" tabRatio="569" activeTab="1"/>
  </bookViews>
  <sheets>
    <sheet name="Energy Calcs" sheetId="5" r:id="rId1"/>
    <sheet name="RO Projections" sheetId="2" r:id="rId2"/>
    <sheet name="Equipment &amp; Load List" sheetId="4" r:id="rId3"/>
  </sheets>
  <definedNames>
    <definedName name="owssvr_1" localSheetId="2" hidden="1">'Equipment &amp; Load List'!$A$4:$AF$287</definedName>
    <definedName name="_xlnm.Print_Area" localSheetId="0">'Energy Calcs'!$A$1:$BT$91</definedName>
    <definedName name="_xlnm.Print_Area" localSheetId="1">'RO Projections'!$A$1:$BE$94</definedName>
  </definedNames>
  <calcPr calcId="125725"/>
</workbook>
</file>

<file path=xl/calcChain.xml><?xml version="1.0" encoding="utf-8"?>
<calcChain xmlns="http://schemas.openxmlformats.org/spreadsheetml/2006/main">
  <c r="Z5" i="5"/>
  <c r="X5"/>
  <c r="U5"/>
  <c r="V5" s="1"/>
  <c r="T5"/>
  <c r="C7"/>
  <c r="Z7"/>
  <c r="X7"/>
  <c r="U7"/>
  <c r="V7" s="1"/>
  <c r="T7"/>
  <c r="T3"/>
  <c r="V3"/>
  <c r="X3"/>
  <c r="U91"/>
  <c r="V91" s="1"/>
  <c r="T91"/>
  <c r="U90"/>
  <c r="V90" s="1"/>
  <c r="T90"/>
  <c r="U89"/>
  <c r="V89" s="1"/>
  <c r="T89"/>
  <c r="U88"/>
  <c r="V88" s="1"/>
  <c r="T88"/>
  <c r="U86"/>
  <c r="V86" s="1"/>
  <c r="T86"/>
  <c r="U85"/>
  <c r="V85" s="1"/>
  <c r="T85"/>
  <c r="U84"/>
  <c r="V84" s="1"/>
  <c r="T84"/>
  <c r="U83"/>
  <c r="V83" s="1"/>
  <c r="T83"/>
  <c r="U82"/>
  <c r="V82" s="1"/>
  <c r="T82"/>
  <c r="U80"/>
  <c r="V80" s="1"/>
  <c r="T80"/>
  <c r="U79"/>
  <c r="V79" s="1"/>
  <c r="T79"/>
  <c r="U78"/>
  <c r="V78" s="1"/>
  <c r="T78"/>
  <c r="U77"/>
  <c r="V77" s="1"/>
  <c r="T77"/>
  <c r="U76"/>
  <c r="V76" s="1"/>
  <c r="T76"/>
  <c r="U75"/>
  <c r="V75" s="1"/>
  <c r="T75"/>
  <c r="U74"/>
  <c r="V74" s="1"/>
  <c r="T74"/>
  <c r="U73"/>
  <c r="V73" s="1"/>
  <c r="T73"/>
  <c r="V72"/>
  <c r="T72"/>
  <c r="U71"/>
  <c r="V71" s="1"/>
  <c r="T71"/>
  <c r="U70"/>
  <c r="V70" s="1"/>
  <c r="T70"/>
  <c r="U69"/>
  <c r="V69" s="1"/>
  <c r="T69"/>
  <c r="U68"/>
  <c r="V68" s="1"/>
  <c r="T68"/>
  <c r="U67"/>
  <c r="V67" s="1"/>
  <c r="T67"/>
  <c r="U66"/>
  <c r="V66" s="1"/>
  <c r="T66"/>
  <c r="U65"/>
  <c r="V65" s="1"/>
  <c r="T65"/>
  <c r="U64"/>
  <c r="V64" s="1"/>
  <c r="T64"/>
  <c r="U62"/>
  <c r="V62" s="1"/>
  <c r="T62"/>
  <c r="U61"/>
  <c r="V61" s="1"/>
  <c r="T61"/>
  <c r="U60"/>
  <c r="V60" s="1"/>
  <c r="T60"/>
  <c r="U59"/>
  <c r="V59" s="1"/>
  <c r="T59"/>
  <c r="U58"/>
  <c r="V58" s="1"/>
  <c r="T58"/>
  <c r="U57"/>
  <c r="V57" s="1"/>
  <c r="T57"/>
  <c r="U56"/>
  <c r="V56" s="1"/>
  <c r="T56"/>
  <c r="U55"/>
  <c r="V55" s="1"/>
  <c r="T55"/>
  <c r="U54"/>
  <c r="V54" s="1"/>
  <c r="T54"/>
  <c r="V52"/>
  <c r="T52"/>
  <c r="U51"/>
  <c r="V51" s="1"/>
  <c r="T51"/>
  <c r="V50"/>
  <c r="U50"/>
  <c r="T50"/>
  <c r="BG49"/>
  <c r="BE49"/>
  <c r="BC49"/>
  <c r="BB49"/>
  <c r="AY49"/>
  <c r="AW49"/>
  <c r="AV49"/>
  <c r="AU49"/>
  <c r="AT49"/>
  <c r="AS49"/>
  <c r="AR49"/>
  <c r="AP49"/>
  <c r="AO49"/>
  <c r="AM49"/>
  <c r="AL49"/>
  <c r="AK49"/>
  <c r="AJ49"/>
  <c r="AH49"/>
  <c r="V49"/>
  <c r="U49"/>
  <c r="T49"/>
  <c r="U48"/>
  <c r="V48" s="1"/>
  <c r="T48"/>
  <c r="U47"/>
  <c r="V47" s="1"/>
  <c r="T47"/>
  <c r="U46"/>
  <c r="V46" s="1"/>
  <c r="T46"/>
  <c r="U45"/>
  <c r="V45" s="1"/>
  <c r="T45"/>
  <c r="U44"/>
  <c r="V44" s="1"/>
  <c r="T44"/>
  <c r="U43"/>
  <c r="V43" s="1"/>
  <c r="T43"/>
  <c r="U40"/>
  <c r="V40" s="1"/>
  <c r="T40"/>
  <c r="U39"/>
  <c r="V39" s="1"/>
  <c r="T39"/>
  <c r="U38"/>
  <c r="V38" s="1"/>
  <c r="T38"/>
  <c r="U37"/>
  <c r="V37" s="1"/>
  <c r="T37"/>
  <c r="U36"/>
  <c r="V36" s="1"/>
  <c r="T36"/>
  <c r="U34"/>
  <c r="V34" s="1"/>
  <c r="T34"/>
  <c r="U33"/>
  <c r="V33" s="1"/>
  <c r="T33"/>
  <c r="U31"/>
  <c r="V31" s="1"/>
  <c r="T31"/>
  <c r="U30"/>
  <c r="V30" s="1"/>
  <c r="T30"/>
  <c r="U29"/>
  <c r="V29" s="1"/>
  <c r="T29"/>
  <c r="U28"/>
  <c r="V28" s="1"/>
  <c r="T28"/>
  <c r="U27"/>
  <c r="V27" s="1"/>
  <c r="T27"/>
  <c r="U26"/>
  <c r="V26" s="1"/>
  <c r="T26"/>
  <c r="U25"/>
  <c r="V25" s="1"/>
  <c r="T25"/>
  <c r="U24"/>
  <c r="V24" s="1"/>
  <c r="T24"/>
  <c r="U23"/>
  <c r="V23" s="1"/>
  <c r="T23"/>
  <c r="U22"/>
  <c r="V22" s="1"/>
  <c r="T22"/>
  <c r="U21"/>
  <c r="V21" s="1"/>
  <c r="T21"/>
  <c r="U19"/>
  <c r="V19" s="1"/>
  <c r="T19"/>
  <c r="U18"/>
  <c r="V18" s="1"/>
  <c r="T18"/>
  <c r="U17"/>
  <c r="V17" s="1"/>
  <c r="T17"/>
  <c r="U16"/>
  <c r="V16" s="1"/>
  <c r="T16"/>
  <c r="U15"/>
  <c r="V15" s="1"/>
  <c r="T15"/>
  <c r="U14"/>
  <c r="V14" s="1"/>
  <c r="T14"/>
  <c r="U13"/>
  <c r="V13" s="1"/>
  <c r="T13"/>
  <c r="U11"/>
  <c r="V11" s="1"/>
  <c r="T11"/>
  <c r="X34" s="1"/>
  <c r="X10"/>
  <c r="U10"/>
  <c r="V10" s="1"/>
  <c r="Z88" s="1"/>
  <c r="T10"/>
  <c r="X89" s="1"/>
  <c r="X8"/>
  <c r="U8"/>
  <c r="V8" s="1"/>
  <c r="T8"/>
  <c r="V22" i="2"/>
  <c r="T22"/>
  <c r="P22"/>
  <c r="Q22"/>
  <c r="R22" s="1"/>
  <c r="T21"/>
  <c r="P21"/>
  <c r="Q21"/>
  <c r="R21" s="1"/>
  <c r="V21"/>
  <c r="V20"/>
  <c r="T20"/>
  <c r="P20"/>
  <c r="Q20"/>
  <c r="R20" s="1"/>
  <c r="V19"/>
  <c r="T19"/>
  <c r="P19"/>
  <c r="Q19"/>
  <c r="R19" s="1"/>
  <c r="V18"/>
  <c r="T18"/>
  <c r="P18"/>
  <c r="Q18"/>
  <c r="R18" s="1"/>
  <c r="V17"/>
  <c r="T17"/>
  <c r="P17"/>
  <c r="Q17"/>
  <c r="R17" s="1"/>
  <c r="V16"/>
  <c r="T16"/>
  <c r="Q16"/>
  <c r="R16" s="1"/>
  <c r="P16"/>
  <c r="V25"/>
  <c r="T25"/>
  <c r="P25"/>
  <c r="Q25"/>
  <c r="R25" s="1"/>
  <c r="V27"/>
  <c r="T27"/>
  <c r="Q27"/>
  <c r="R27" s="1"/>
  <c r="P27"/>
  <c r="V29"/>
  <c r="T29"/>
  <c r="Q29"/>
  <c r="R29" s="1"/>
  <c r="P29"/>
  <c r="V31"/>
  <c r="T31"/>
  <c r="Q31"/>
  <c r="R31" s="1"/>
  <c r="P31"/>
  <c r="P80"/>
  <c r="Q80"/>
  <c r="R80" s="1"/>
  <c r="T79"/>
  <c r="T80"/>
  <c r="V79"/>
  <c r="V80"/>
  <c r="P79"/>
  <c r="Q79"/>
  <c r="R79" s="1"/>
  <c r="V77"/>
  <c r="T77"/>
  <c r="P77"/>
  <c r="Q77"/>
  <c r="R77" s="1"/>
  <c r="P71"/>
  <c r="Q71"/>
  <c r="R71" s="1"/>
  <c r="V71"/>
  <c r="V70"/>
  <c r="T71"/>
  <c r="T70"/>
  <c r="P70"/>
  <c r="Q70"/>
  <c r="R70" s="1"/>
  <c r="V68"/>
  <c r="T68"/>
  <c r="P68"/>
  <c r="Q68"/>
  <c r="R68" s="1"/>
  <c r="V94"/>
  <c r="T94"/>
  <c r="P94"/>
  <c r="Q94"/>
  <c r="R94" s="1"/>
  <c r="V86"/>
  <c r="T86"/>
  <c r="Q86"/>
  <c r="R86" s="1"/>
  <c r="P86"/>
  <c r="V89"/>
  <c r="T89"/>
  <c r="P89"/>
  <c r="Q89"/>
  <c r="R89" s="1"/>
  <c r="V88"/>
  <c r="T88"/>
  <c r="Q88"/>
  <c r="R88" s="1"/>
  <c r="P88"/>
  <c r="X11" i="5" l="1"/>
  <c r="X15"/>
  <c r="X19"/>
  <c r="X24"/>
  <c r="X31"/>
  <c r="X13"/>
  <c r="X17"/>
  <c r="X22"/>
  <c r="X26"/>
  <c r="X29"/>
  <c r="Z29"/>
  <c r="Z24"/>
  <c r="Z19"/>
  <c r="Z15"/>
  <c r="Z11"/>
  <c r="Z34"/>
  <c r="Z30"/>
  <c r="Z25"/>
  <c r="Z21"/>
  <c r="Z16"/>
  <c r="Z31"/>
  <c r="Z26"/>
  <c r="Z22"/>
  <c r="Z17"/>
  <c r="Z13"/>
  <c r="Z8"/>
  <c r="Z33"/>
  <c r="Z28"/>
  <c r="Z27"/>
  <c r="Z23"/>
  <c r="Z18"/>
  <c r="Z14"/>
  <c r="Z10"/>
  <c r="Z37"/>
  <c r="X38"/>
  <c r="Z43"/>
  <c r="X44"/>
  <c r="Z47"/>
  <c r="X48"/>
  <c r="Z54"/>
  <c r="X55"/>
  <c r="Z59"/>
  <c r="Z60"/>
  <c r="X61"/>
  <c r="Z64"/>
  <c r="X65"/>
  <c r="Z68"/>
  <c r="X69"/>
  <c r="Z73"/>
  <c r="X74"/>
  <c r="Z77"/>
  <c r="X78"/>
  <c r="Z82"/>
  <c r="X83"/>
  <c r="Z86"/>
  <c r="X88"/>
  <c r="Z91"/>
  <c r="X14"/>
  <c r="X18"/>
  <c r="X23"/>
  <c r="X27"/>
  <c r="X28"/>
  <c r="X33"/>
  <c r="Z36"/>
  <c r="X37"/>
  <c r="Z40"/>
  <c r="X43"/>
  <c r="Z46"/>
  <c r="X47"/>
  <c r="Z51"/>
  <c r="Z52"/>
  <c r="X54"/>
  <c r="Z57"/>
  <c r="Z58"/>
  <c r="X59"/>
  <c r="X60"/>
  <c r="Z63"/>
  <c r="X64"/>
  <c r="Z67"/>
  <c r="X68"/>
  <c r="Z71"/>
  <c r="Z72"/>
  <c r="X73"/>
  <c r="Z76"/>
  <c r="X77"/>
  <c r="Z80"/>
  <c r="X82"/>
  <c r="Z85"/>
  <c r="X86"/>
  <c r="Z90"/>
  <c r="X91"/>
  <c r="X36"/>
  <c r="Z39"/>
  <c r="X40"/>
  <c r="Z45"/>
  <c r="X46"/>
  <c r="Z49"/>
  <c r="Z50"/>
  <c r="X51"/>
  <c r="X52"/>
  <c r="Z56"/>
  <c r="X57"/>
  <c r="Z62"/>
  <c r="Z66"/>
  <c r="X67"/>
  <c r="Z70"/>
  <c r="X71"/>
  <c r="X72"/>
  <c r="Z75"/>
  <c r="X76"/>
  <c r="Z79"/>
  <c r="X80"/>
  <c r="Z84"/>
  <c r="X85"/>
  <c r="Z89"/>
  <c r="X90"/>
  <c r="X16"/>
  <c r="X21"/>
  <c r="X25"/>
  <c r="X30"/>
  <c r="Z38"/>
  <c r="X39"/>
  <c r="Z44"/>
  <c r="X45"/>
  <c r="Z48"/>
  <c r="X49"/>
  <c r="X50"/>
  <c r="Z55"/>
  <c r="X56"/>
  <c r="Z61"/>
  <c r="X62"/>
  <c r="Z65"/>
  <c r="X66"/>
  <c r="Z69"/>
  <c r="X70"/>
  <c r="Z74"/>
  <c r="X75"/>
  <c r="Z78"/>
  <c r="X79"/>
  <c r="Z83"/>
  <c r="X84"/>
  <c r="V62" i="2"/>
  <c r="T62"/>
  <c r="Q62"/>
  <c r="R62" s="1"/>
  <c r="P62"/>
  <c r="V61"/>
  <c r="P61"/>
  <c r="Q61"/>
  <c r="R61" s="1"/>
  <c r="Q59"/>
  <c r="R59" s="1"/>
  <c r="V59"/>
  <c r="T59"/>
  <c r="P59"/>
  <c r="V58"/>
  <c r="Q58"/>
  <c r="R58" s="1"/>
  <c r="P58"/>
  <c r="T58"/>
  <c r="V51"/>
  <c r="P51"/>
  <c r="Q51"/>
  <c r="R51" s="1"/>
  <c r="T51"/>
  <c r="V50"/>
  <c r="T50"/>
  <c r="P50"/>
  <c r="Q50"/>
  <c r="R50" s="1"/>
  <c r="V49"/>
  <c r="T49"/>
  <c r="T48"/>
  <c r="P49"/>
  <c r="Q49"/>
  <c r="R49" s="1"/>
  <c r="Q46"/>
  <c r="Q47"/>
  <c r="R47" s="1"/>
  <c r="Q48"/>
  <c r="R48" s="1"/>
  <c r="Q52"/>
  <c r="R52" s="1"/>
  <c r="Q53"/>
  <c r="R53" s="1"/>
  <c r="Q54"/>
  <c r="R54" s="1"/>
  <c r="Q57"/>
  <c r="Q60"/>
  <c r="Q63"/>
  <c r="Q64"/>
  <c r="Q65"/>
  <c r="Q67"/>
  <c r="Q69"/>
  <c r="Q72"/>
  <c r="Q73"/>
  <c r="Q74"/>
  <c r="Q76"/>
  <c r="Q78"/>
  <c r="Q81"/>
  <c r="Q82"/>
  <c r="Q83"/>
  <c r="Q85"/>
  <c r="Q87"/>
  <c r="Q91"/>
  <c r="Q92"/>
  <c r="Q93"/>
  <c r="Q43"/>
  <c r="Q42"/>
  <c r="Q41"/>
  <c r="Q40"/>
  <c r="Q39"/>
  <c r="Q37"/>
  <c r="Q36"/>
  <c r="R36" s="1"/>
  <c r="Q34"/>
  <c r="Q33"/>
  <c r="Q32"/>
  <c r="Q30"/>
  <c r="Q28"/>
  <c r="Q26"/>
  <c r="Q24"/>
  <c r="Q14"/>
  <c r="Q13"/>
  <c r="Q11"/>
  <c r="R11" s="1"/>
  <c r="Q10"/>
  <c r="R10" s="1"/>
  <c r="V47"/>
  <c r="T47"/>
  <c r="P47"/>
  <c r="V36"/>
  <c r="T36"/>
  <c r="P36"/>
  <c r="V11"/>
  <c r="V10"/>
  <c r="T11"/>
  <c r="T10"/>
  <c r="P11"/>
  <c r="P10"/>
  <c r="C25" i="5"/>
  <c r="C16"/>
  <c r="AJ148" i="4"/>
  <c r="AJ149"/>
  <c r="AJ150"/>
  <c r="AJ147"/>
  <c r="AJ109"/>
  <c r="AK109"/>
  <c r="AJ108"/>
  <c r="AK108"/>
  <c r="Q272"/>
  <c r="Q273"/>
  <c r="Q64"/>
  <c r="Q58"/>
  <c r="Q59"/>
  <c r="Q60"/>
  <c r="Q61"/>
  <c r="Q62"/>
  <c r="Q63"/>
  <c r="Q57"/>
  <c r="AJ38"/>
  <c r="P75" i="2" l="1"/>
  <c r="T75"/>
  <c r="V75"/>
  <c r="V37"/>
  <c r="T37"/>
  <c r="R37"/>
  <c r="P37"/>
  <c r="C43" i="5"/>
  <c r="C34"/>
  <c r="AJ247" i="4"/>
  <c r="AJ248"/>
  <c r="AJ249"/>
  <c r="AJ250"/>
  <c r="AJ251"/>
  <c r="AJ252"/>
  <c r="AJ253"/>
  <c r="AJ254"/>
  <c r="AJ246"/>
  <c r="P52" i="2" l="1"/>
  <c r="P53"/>
  <c r="P54"/>
  <c r="P91"/>
  <c r="R91"/>
  <c r="P92"/>
  <c r="R92"/>
  <c r="T87"/>
  <c r="T91"/>
  <c r="T92"/>
  <c r="V92"/>
  <c r="V91"/>
  <c r="V87"/>
  <c r="R87"/>
  <c r="P87"/>
  <c r="V83"/>
  <c r="V82"/>
  <c r="V81"/>
  <c r="V78"/>
  <c r="T83"/>
  <c r="T82"/>
  <c r="T81"/>
  <c r="T78"/>
  <c r="R83"/>
  <c r="P83"/>
  <c r="R82"/>
  <c r="P82"/>
  <c r="R81"/>
  <c r="P81"/>
  <c r="R78"/>
  <c r="P78"/>
  <c r="V76"/>
  <c r="V74"/>
  <c r="V73"/>
  <c r="V72"/>
  <c r="V69"/>
  <c r="T76"/>
  <c r="T74"/>
  <c r="T73"/>
  <c r="T72"/>
  <c r="T69"/>
  <c r="R76"/>
  <c r="P76"/>
  <c r="R74"/>
  <c r="P74"/>
  <c r="R73"/>
  <c r="P73"/>
  <c r="R72"/>
  <c r="P72"/>
  <c r="R69"/>
  <c r="P69"/>
  <c r="V67"/>
  <c r="V66"/>
  <c r="V65"/>
  <c r="V64"/>
  <c r="V63"/>
  <c r="V60"/>
  <c r="V57"/>
  <c r="V55"/>
  <c r="T67"/>
  <c r="T65"/>
  <c r="T64"/>
  <c r="T63"/>
  <c r="T60"/>
  <c r="T57"/>
  <c r="T55"/>
  <c r="R67"/>
  <c r="P67"/>
  <c r="R65"/>
  <c r="P65"/>
  <c r="R64"/>
  <c r="P64"/>
  <c r="R63"/>
  <c r="P63"/>
  <c r="R60"/>
  <c r="P60"/>
  <c r="R57"/>
  <c r="P57"/>
  <c r="P55"/>
  <c r="V43"/>
  <c r="V42"/>
  <c r="V41"/>
  <c r="V40"/>
  <c r="V39"/>
  <c r="T43"/>
  <c r="T42"/>
  <c r="T41"/>
  <c r="T40"/>
  <c r="T39"/>
  <c r="P39"/>
  <c r="R39"/>
  <c r="P40"/>
  <c r="R40"/>
  <c r="P41"/>
  <c r="R41"/>
  <c r="P42"/>
  <c r="R42"/>
  <c r="P43"/>
  <c r="R43"/>
  <c r="V53"/>
  <c r="T52"/>
  <c r="T53"/>
  <c r="V52"/>
  <c r="V48"/>
  <c r="P48"/>
  <c r="V13"/>
  <c r="T13"/>
  <c r="P13"/>
  <c r="R13"/>
  <c r="T34" l="1"/>
  <c r="P34"/>
  <c r="R34"/>
  <c r="V34"/>
  <c r="V33"/>
  <c r="T33"/>
  <c r="P33"/>
  <c r="R33"/>
  <c r="V30"/>
  <c r="V28"/>
  <c r="V26"/>
  <c r="T30"/>
  <c r="T28"/>
  <c r="T26"/>
  <c r="R30"/>
  <c r="P30"/>
  <c r="R28"/>
  <c r="P28"/>
  <c r="R26"/>
  <c r="P26"/>
  <c r="C35" i="5" l="1"/>
  <c r="C26"/>
  <c r="C17"/>
  <c r="R14" i="2" l="1"/>
  <c r="R24"/>
  <c r="R32"/>
  <c r="R46"/>
  <c r="R93"/>
  <c r="R85"/>
  <c r="AD52" l="1"/>
  <c r="AF52"/>
  <c r="AG52"/>
  <c r="AH52"/>
  <c r="AI52"/>
  <c r="AK52"/>
  <c r="AL52"/>
  <c r="AN52"/>
  <c r="AO52"/>
  <c r="AP52"/>
  <c r="AQ52"/>
  <c r="AR52"/>
  <c r="AS52"/>
  <c r="AU52"/>
  <c r="AX52"/>
  <c r="AY52"/>
  <c r="BA52"/>
  <c r="BC52"/>
  <c r="V93"/>
  <c r="V85"/>
  <c r="V54"/>
  <c r="V46"/>
  <c r="V32"/>
  <c r="V24"/>
  <c r="V14"/>
  <c r="T93"/>
  <c r="T85"/>
  <c r="T54"/>
  <c r="T46"/>
  <c r="T32"/>
  <c r="T24"/>
  <c r="T14"/>
  <c r="P93"/>
  <c r="P85"/>
  <c r="P46"/>
  <c r="P32"/>
  <c r="P24"/>
  <c r="P14"/>
  <c r="AK229" i="4" l="1"/>
  <c r="AK230"/>
  <c r="AK228"/>
  <c r="AJ230"/>
  <c r="AJ229"/>
  <c r="AJ228"/>
  <c r="AJ164"/>
  <c r="AK164" s="1"/>
  <c r="C118" i="5" l="1"/>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17"/>
  <c r="AK296" i="4"/>
  <c r="AJ9"/>
  <c r="AK5"/>
  <c r="AJ5"/>
  <c r="AJ48"/>
  <c r="AK48" s="1"/>
  <c r="AJ47"/>
  <c r="AK47" s="1"/>
  <c r="AK38"/>
  <c r="AJ298"/>
  <c r="AJ297" l="1"/>
  <c r="C53" i="5" s="1"/>
  <c r="C6"/>
  <c r="C9" s="1"/>
  <c r="C24"/>
  <c r="E34"/>
  <c r="C42"/>
  <c r="C45" s="1"/>
  <c r="C48" s="1"/>
  <c r="C33"/>
  <c r="C36" s="1"/>
  <c r="C15"/>
  <c r="C18" s="1"/>
  <c r="AS3"/>
  <c r="AT3"/>
  <c r="AU3"/>
  <c r="AV3"/>
  <c r="AW3"/>
  <c r="AX3"/>
  <c r="AY3"/>
  <c r="AZ3"/>
  <c r="BA3"/>
  <c r="BB3"/>
  <c r="BC3"/>
  <c r="BD3"/>
  <c r="BE3"/>
  <c r="BF3"/>
  <c r="BG3"/>
  <c r="AS4"/>
  <c r="AT4"/>
  <c r="AU4"/>
  <c r="AV4"/>
  <c r="AW4"/>
  <c r="AX4"/>
  <c r="AY4"/>
  <c r="AZ4"/>
  <c r="BA4"/>
  <c r="BB4"/>
  <c r="BC4"/>
  <c r="BD4"/>
  <c r="BE4"/>
  <c r="BF4"/>
  <c r="BG4"/>
  <c r="BH4"/>
  <c r="BI4"/>
  <c r="H4"/>
  <c r="I4"/>
  <c r="J4"/>
  <c r="K4"/>
  <c r="L4"/>
  <c r="M4"/>
  <c r="N4"/>
  <c r="O4"/>
  <c r="P4"/>
  <c r="Q4"/>
  <c r="R4"/>
  <c r="S4"/>
  <c r="T4"/>
  <c r="U4"/>
  <c r="V4"/>
  <c r="W4"/>
  <c r="X4"/>
  <c r="Y4"/>
  <c r="Z4"/>
  <c r="AA4"/>
  <c r="AB4"/>
  <c r="AC4"/>
  <c r="AD4"/>
  <c r="AE4"/>
  <c r="AF4"/>
  <c r="AG4"/>
  <c r="AH4"/>
  <c r="AI4"/>
  <c r="AJ4"/>
  <c r="AK4"/>
  <c r="AL4"/>
  <c r="AM4"/>
  <c r="AN4"/>
  <c r="AO4"/>
  <c r="AP4"/>
  <c r="AQ4"/>
  <c r="AR4"/>
  <c r="F4"/>
  <c r="G3"/>
  <c r="H3"/>
  <c r="I3"/>
  <c r="L3"/>
  <c r="M3"/>
  <c r="N3"/>
  <c r="Q3"/>
  <c r="R3"/>
  <c r="S3"/>
  <c r="U3"/>
  <c r="W3"/>
  <c r="Y3"/>
  <c r="Z3"/>
  <c r="AA3"/>
  <c r="AD3"/>
  <c r="AE3"/>
  <c r="AF3"/>
  <c r="AG3"/>
  <c r="AH3"/>
  <c r="AI3"/>
  <c r="AJ3"/>
  <c r="AK3"/>
  <c r="AL3"/>
  <c r="AM3"/>
  <c r="AN3"/>
  <c r="AO3"/>
  <c r="AP3"/>
  <c r="AQ3"/>
  <c r="AR3"/>
  <c r="F3"/>
  <c r="AJ265" i="4"/>
  <c r="AJ264"/>
  <c r="AK265"/>
  <c r="AK264"/>
  <c r="AK232"/>
  <c r="AK233"/>
  <c r="AK234"/>
  <c r="AK235"/>
  <c r="AK236"/>
  <c r="AK237"/>
  <c r="AK238"/>
  <c r="AK239"/>
  <c r="AK240"/>
  <c r="AK241"/>
  <c r="AK242"/>
  <c r="AK243"/>
  <c r="AK244"/>
  <c r="AK245"/>
  <c r="AK231"/>
  <c r="AJ232"/>
  <c r="AJ233"/>
  <c r="AJ234"/>
  <c r="AJ235"/>
  <c r="AJ236"/>
  <c r="AJ237"/>
  <c r="AJ238"/>
  <c r="AJ239"/>
  <c r="AJ240"/>
  <c r="AJ241"/>
  <c r="AJ242"/>
  <c r="AJ243"/>
  <c r="AJ244"/>
  <c r="AJ245"/>
  <c r="AJ231"/>
  <c r="AK218"/>
  <c r="AJ218"/>
  <c r="AK215"/>
  <c r="AJ215"/>
  <c r="AK213"/>
  <c r="AJ213"/>
  <c r="AK175"/>
  <c r="AJ175"/>
  <c r="AJ177"/>
  <c r="AJ207"/>
  <c r="AK206"/>
  <c r="AJ206"/>
  <c r="AK203"/>
  <c r="AJ203"/>
  <c r="AJ169"/>
  <c r="AJ182"/>
  <c r="AK182"/>
  <c r="AK179"/>
  <c r="AK184" s="1"/>
  <c r="AJ179"/>
  <c r="AJ184" s="1"/>
  <c r="AK178"/>
  <c r="AJ178"/>
  <c r="AJ172"/>
  <c r="AK174"/>
  <c r="AJ174"/>
  <c r="AK170"/>
  <c r="AJ170"/>
  <c r="AJ166"/>
  <c r="AJ167"/>
  <c r="AK167"/>
  <c r="AK166"/>
  <c r="AJ275"/>
  <c r="AK275"/>
  <c r="AJ273"/>
  <c r="AJ272"/>
  <c r="AJ278"/>
  <c r="AJ146"/>
  <c r="AK146"/>
  <c r="AK124"/>
  <c r="AK125"/>
  <c r="AK126"/>
  <c r="AK127"/>
  <c r="AK128"/>
  <c r="AK129"/>
  <c r="AK130"/>
  <c r="AK131"/>
  <c r="AK132"/>
  <c r="AK133"/>
  <c r="AK134"/>
  <c r="AK135"/>
  <c r="AK136"/>
  <c r="AK137"/>
  <c r="AK138"/>
  <c r="AK139"/>
  <c r="AK140"/>
  <c r="AK141"/>
  <c r="AK142"/>
  <c r="AK143"/>
  <c r="AJ124"/>
  <c r="AJ125"/>
  <c r="AJ126"/>
  <c r="AJ127"/>
  <c r="AJ128"/>
  <c r="AJ129"/>
  <c r="AJ130"/>
  <c r="AJ131"/>
  <c r="AJ132"/>
  <c r="AJ133"/>
  <c r="AJ134"/>
  <c r="AJ135"/>
  <c r="AJ136"/>
  <c r="AJ137"/>
  <c r="AJ138"/>
  <c r="AJ139"/>
  <c r="AJ140"/>
  <c r="AJ141"/>
  <c r="AJ142"/>
  <c r="AJ143"/>
  <c r="AJ144"/>
  <c r="AJ95"/>
  <c r="AK95"/>
  <c r="AJ96"/>
  <c r="AK96"/>
  <c r="AJ97"/>
  <c r="AK97"/>
  <c r="AJ98"/>
  <c r="AK98"/>
  <c r="AJ99"/>
  <c r="AK99"/>
  <c r="AJ100"/>
  <c r="AK100"/>
  <c r="AJ101"/>
  <c r="AK101"/>
  <c r="AJ102"/>
  <c r="AK102"/>
  <c r="AJ103"/>
  <c r="AK103"/>
  <c r="AJ104"/>
  <c r="AK104"/>
  <c r="AJ105"/>
  <c r="AK105"/>
  <c r="AJ106"/>
  <c r="AK106"/>
  <c r="AJ107"/>
  <c r="AK107"/>
  <c r="AJ110"/>
  <c r="AK110"/>
  <c r="AJ111"/>
  <c r="AK111"/>
  <c r="AJ112"/>
  <c r="AK112"/>
  <c r="AJ113"/>
  <c r="AK113"/>
  <c r="AJ114"/>
  <c r="AK114"/>
  <c r="AJ115"/>
  <c r="AK115"/>
  <c r="AJ116"/>
  <c r="AK116"/>
  <c r="AJ117"/>
  <c r="AK117"/>
  <c r="AJ118"/>
  <c r="AK118"/>
  <c r="AJ119"/>
  <c r="AK119"/>
  <c r="AJ120"/>
  <c r="AK120"/>
  <c r="AJ121"/>
  <c r="AK121"/>
  <c r="AJ122"/>
  <c r="AK122"/>
  <c r="AJ123"/>
  <c r="AK123"/>
  <c r="AK72"/>
  <c r="AK70"/>
  <c r="AJ70"/>
  <c r="AJ71"/>
  <c r="AJ72"/>
  <c r="AJ73" s="1"/>
  <c r="AJ65"/>
  <c r="AI65"/>
  <c r="AI64"/>
  <c r="AJ64"/>
  <c r="AK7"/>
  <c r="AJ8"/>
  <c r="AK8" s="1"/>
  <c r="AK9"/>
  <c r="AJ10"/>
  <c r="AK10" s="1"/>
  <c r="AJ11"/>
  <c r="AK11" s="1"/>
  <c r="AJ12"/>
  <c r="AK12" s="1"/>
  <c r="AJ13"/>
  <c r="AK13" s="1"/>
  <c r="AJ14"/>
  <c r="AK14" s="1"/>
  <c r="AJ15"/>
  <c r="AK15" s="1"/>
  <c r="AJ16"/>
  <c r="AK16" s="1"/>
  <c r="AJ17"/>
  <c r="AK17" s="1"/>
  <c r="AJ18"/>
  <c r="AK18" s="1"/>
  <c r="AJ19"/>
  <c r="AK19" s="1"/>
  <c r="AJ20"/>
  <c r="AK20" s="1"/>
  <c r="AJ21"/>
  <c r="AK21" s="1"/>
  <c r="AJ22"/>
  <c r="AK22" s="1"/>
  <c r="AJ23"/>
  <c r="AK23" s="1"/>
  <c r="AJ24"/>
  <c r="AK24" s="1"/>
  <c r="AJ25"/>
  <c r="AK25" s="1"/>
  <c r="AJ26"/>
  <c r="AK26" s="1"/>
  <c r="AJ27"/>
  <c r="AK27" s="1"/>
  <c r="AJ28"/>
  <c r="AK28" s="1"/>
  <c r="AJ29"/>
  <c r="AK29" s="1"/>
  <c r="AJ30"/>
  <c r="AK30" s="1"/>
  <c r="AJ31"/>
  <c r="AK31" s="1"/>
  <c r="AJ32"/>
  <c r="AK32" s="1"/>
  <c r="AJ33"/>
  <c r="AK33" s="1"/>
  <c r="AJ34"/>
  <c r="D112" i="5" l="1"/>
  <c r="AK291" i="4"/>
  <c r="AJ291"/>
  <c r="AJ293" s="1"/>
  <c r="C39" i="5"/>
  <c r="C27"/>
  <c r="C21"/>
  <c r="C22" s="1"/>
  <c r="C49" l="1"/>
  <c r="C30"/>
  <c r="C31" s="1"/>
  <c r="C40"/>
  <c r="AK293" i="4" l="1"/>
  <c r="C52" i="5" l="1"/>
  <c r="C12"/>
  <c r="C13" s="1"/>
  <c r="E40" l="1"/>
  <c r="E41" s="1"/>
  <c r="C51"/>
  <c r="C54" s="1"/>
  <c r="C55" s="1"/>
</calcChain>
</file>

<file path=xl/comments1.xml><?xml version="1.0" encoding="utf-8"?>
<comments xmlns="http://schemas.openxmlformats.org/spreadsheetml/2006/main">
  <authors>
    <author>Steven Alt</author>
  </authors>
  <commentList>
    <comment ref="C7" authorId="0">
      <text>
        <r>
          <rPr>
            <b/>
            <sz val="10"/>
            <color indexed="81"/>
            <rFont val="Tahoma"/>
            <family val="2"/>
          </rPr>
          <t>Steven Alt:</t>
        </r>
        <r>
          <rPr>
            <sz val="10"/>
            <color indexed="81"/>
            <rFont val="Tahoma"/>
            <family val="2"/>
          </rPr>
          <t xml:space="preserve">
10 psi min for DWEERS.  Pump NPSHR is 16 meters.  Use 20 psig to be safe minus 5 psi feed tank + Cartridge filter dP 3 psi (commissioning, 8 psi 3 - 5 years) </t>
        </r>
        <r>
          <rPr>
            <sz val="9"/>
            <color indexed="81"/>
            <rFont val="Tahoma"/>
            <family val="2"/>
          </rPr>
          <t xml:space="preserve">
</t>
        </r>
      </text>
    </comment>
    <comment ref="C16" authorId="0">
      <text>
        <r>
          <rPr>
            <b/>
            <sz val="10"/>
            <color indexed="81"/>
            <rFont val="Tahoma"/>
            <family val="2"/>
          </rPr>
          <t>Steven Alt:</t>
        </r>
        <r>
          <rPr>
            <sz val="10"/>
            <color indexed="81"/>
            <rFont val="Tahoma"/>
            <family val="2"/>
          </rPr>
          <t xml:space="preserve">
Projected pressure minus incoming + 1 psi line loss + 10 psi destination</t>
        </r>
      </text>
    </comment>
    <comment ref="C25" authorId="0">
      <text>
        <r>
          <rPr>
            <b/>
            <sz val="10"/>
            <color indexed="81"/>
            <rFont val="Tahoma"/>
            <family val="2"/>
          </rPr>
          <t>Steven Alt:</t>
        </r>
        <r>
          <rPr>
            <sz val="10"/>
            <color indexed="81"/>
            <rFont val="Tahoma"/>
            <family val="2"/>
          </rPr>
          <t xml:space="preserve">
Equals Membrane dp (commissioning, 50% more 3.5 years) + 5 psi line losses  + DWEER Loss (97.5% efficient</t>
        </r>
      </text>
    </comment>
    <comment ref="C34" authorId="0">
      <text>
        <r>
          <rPr>
            <b/>
            <sz val="10"/>
            <color indexed="81"/>
            <rFont val="Tahoma"/>
            <family val="2"/>
          </rPr>
          <t>Steven Alt:</t>
        </r>
        <r>
          <rPr>
            <sz val="10"/>
            <color indexed="81"/>
            <rFont val="Tahoma"/>
            <family val="2"/>
          </rPr>
          <t xml:space="preserve">
Projected pressure minus 5 psi tank head + 1 psi line loss + 10 psi product water tank head</t>
        </r>
      </text>
    </comment>
    <comment ref="C43" authorId="0">
      <text>
        <r>
          <rPr>
            <b/>
            <sz val="10"/>
            <color indexed="81"/>
            <rFont val="Tahoma"/>
            <family val="2"/>
          </rPr>
          <t>Steven Alt:</t>
        </r>
        <r>
          <rPr>
            <sz val="10"/>
            <color indexed="81"/>
            <rFont val="Tahoma"/>
            <family val="2"/>
          </rPr>
          <t xml:space="preserve">
Per RFP, 305 feet plus plant piping and valve losses ( 2 psi)</t>
        </r>
      </text>
    </comment>
    <comment ref="C46" authorId="0">
      <text>
        <r>
          <rPr>
            <b/>
            <sz val="9"/>
            <color indexed="81"/>
            <rFont val="Tahoma"/>
            <family val="2"/>
          </rPr>
          <t>Steven Alt:</t>
        </r>
        <r>
          <rPr>
            <sz val="9"/>
            <color indexed="81"/>
            <rFont val="Tahoma"/>
            <family val="2"/>
          </rPr>
          <t xml:space="preserve">
80% 400 HPs, 75% smaller</t>
        </r>
      </text>
    </comment>
    <comment ref="C51" authorId="0">
      <text>
        <r>
          <rPr>
            <b/>
            <sz val="10"/>
            <color indexed="81"/>
            <rFont val="Tahoma"/>
            <family val="2"/>
          </rPr>
          <t>Steven Alt:</t>
        </r>
        <r>
          <rPr>
            <sz val="10"/>
            <color indexed="81"/>
            <rFont val="Tahoma"/>
            <family val="2"/>
          </rPr>
          <t xml:space="preserve">
This based upon projected pressures with safety factors for quality but not for pressure!</t>
        </r>
      </text>
    </comment>
    <comment ref="U54" authorId="0">
      <text>
        <r>
          <rPr>
            <b/>
            <sz val="9"/>
            <color indexed="81"/>
            <rFont val="Tahoma"/>
            <family val="2"/>
          </rPr>
          <t>Steven Alt:</t>
        </r>
        <r>
          <rPr>
            <sz val="9"/>
            <color indexed="81"/>
            <rFont val="Tahoma"/>
            <family val="2"/>
          </rPr>
          <t xml:space="preserve">
For TDS less than average, both bromide and chloride drop in the same proportion, so ok to keep /21000*71</t>
        </r>
      </text>
    </comment>
  </commentList>
</comments>
</file>

<file path=xl/comments2.xml><?xml version="1.0" encoding="utf-8"?>
<comments xmlns="http://schemas.openxmlformats.org/spreadsheetml/2006/main">
  <authors>
    <author>Steven Alt</author>
  </authors>
  <commentList>
    <comment ref="AV46" authorId="0">
      <text>
        <r>
          <rPr>
            <b/>
            <sz val="9"/>
            <color indexed="81"/>
            <rFont val="Tahoma"/>
            <family val="2"/>
          </rPr>
          <t>Steven Alt:</t>
        </r>
        <r>
          <rPr>
            <sz val="9"/>
            <color indexed="81"/>
            <rFont val="Tahoma"/>
            <family val="2"/>
          </rPr>
          <t xml:space="preserve">
Feed Pressure higher in Not to exceed case as 2nd pass ROC higher TDS and thus 1st pass ROF higher TDS</t>
        </r>
      </text>
    </comment>
    <comment ref="Q57" authorId="0">
      <text>
        <r>
          <rPr>
            <b/>
            <sz val="9"/>
            <color indexed="81"/>
            <rFont val="Tahoma"/>
            <family val="2"/>
          </rPr>
          <t>Steven Alt:</t>
        </r>
        <r>
          <rPr>
            <sz val="9"/>
            <color indexed="81"/>
            <rFont val="Tahoma"/>
            <family val="2"/>
          </rPr>
          <t xml:space="preserve">
For TDS less than average, both bromide and chloride drop in the same proportion, so ok to keep /21000*71</t>
        </r>
      </text>
    </comment>
  </commentList>
</comments>
</file>

<file path=xl/comments3.xml><?xml version="1.0" encoding="utf-8"?>
<comments xmlns="http://schemas.openxmlformats.org/spreadsheetml/2006/main">
  <authors>
    <author>Steven Alt</author>
  </authors>
  <commentList>
    <comment ref="AI64" authorId="0">
      <text>
        <r>
          <rPr>
            <b/>
            <sz val="9"/>
            <color indexed="81"/>
            <rFont val="Tahoma"/>
            <family val="2"/>
          </rPr>
          <t>Steven Alt:</t>
        </r>
        <r>
          <rPr>
            <sz val="9"/>
            <color indexed="81"/>
            <rFont val="Tahoma"/>
            <family val="2"/>
          </rPr>
          <t xml:space="preserve">
8 hours per CIP per train.  1st pass every 4 months.  2nd pass every 2 years.</t>
        </r>
      </text>
    </comment>
    <comment ref="AI65" authorId="0">
      <text>
        <r>
          <rPr>
            <b/>
            <sz val="9"/>
            <color indexed="81"/>
            <rFont val="Tahoma"/>
            <family val="2"/>
          </rPr>
          <t>Steven Alt:</t>
        </r>
        <r>
          <rPr>
            <sz val="9"/>
            <color indexed="81"/>
            <rFont val="Tahoma"/>
            <family val="2"/>
          </rPr>
          <t xml:space="preserve">
1 hour per CIP</t>
        </r>
      </text>
    </comment>
    <comment ref="AJ262" authorId="0">
      <text>
        <r>
          <rPr>
            <b/>
            <sz val="9"/>
            <color indexed="81"/>
            <rFont val="Tahoma"/>
            <family val="2"/>
          </rPr>
          <t>Steven Alt:</t>
        </r>
        <r>
          <rPr>
            <sz val="9"/>
            <color indexed="81"/>
            <rFont val="Tahoma"/>
            <family val="2"/>
          </rPr>
          <t xml:space="preserve">
per Kim Ervin</t>
        </r>
      </text>
    </comment>
  </commentList>
</comments>
</file>

<file path=xl/connections.xml><?xml version="1.0" encoding="utf-8"?>
<connections xmlns="http://schemas.openxmlformats.org/spreadsheetml/2006/main">
  <connection id="1" odcFile="C:\Users\kmaestri\AppData\Local\Microsoft\Windows\Temporary Internet Files\Content.IE5\UDEOB02X\owssvr[1].iqy" keepAlive="1" name="owssvr[1]" type="5" refreshedVersion="3" minRefreshableVersion="3" saveData="1">
    <dbPr connection="Provider=Microsoft.Office.List.OLEDB.2.0;Data Source=&quot;&quot;;ApplicationName=Excel;Version=12.0.0.0" command="&lt;LIST&gt;&lt;VIEWGUID&gt;{D8C774E3-77D0-4A87-BFB3-6FB608A1889B}&lt;/VIEWGUID&gt;&lt;LISTNAME&gt;{399E8ED7-BF1E-46C3-921F-431EB47C564C}&lt;/LISTNAME&gt;&lt;LISTWEB&gt;https://deliver.ch2m.com/proposals/MontereyDesalinationWTP/_vti_bin&lt;/LISTWEB&gt;&lt;LISTSUBWEB&gt;&lt;/LISTSUBWEB&gt;&lt;ROOTFOLDER&gt;/proposals/MontereyDesalinationWTP/Lists/Equipment List&lt;/ROOTFOLDER&gt;&lt;/LIST&gt;" commandType="5"/>
  </connection>
</connections>
</file>

<file path=xl/sharedStrings.xml><?xml version="1.0" encoding="utf-8"?>
<sst xmlns="http://schemas.openxmlformats.org/spreadsheetml/2006/main" count="3019" uniqueCount="638">
  <si>
    <t>1st pass</t>
  </si>
  <si>
    <t>CIP</t>
  </si>
  <si>
    <t>2nd pass</t>
  </si>
  <si>
    <t xml:space="preserve">1st pass </t>
  </si>
  <si>
    <r>
      <t xml:space="preserve">DESIGN - </t>
    </r>
    <r>
      <rPr>
        <b/>
        <sz val="9"/>
        <color indexed="10"/>
        <rFont val="Arial"/>
        <family val="2"/>
      </rPr>
      <t>TRAIN</t>
    </r>
  </si>
  <si>
    <t>years</t>
  </si>
  <si>
    <t>TDS</t>
  </si>
  <si>
    <t>temp</t>
  </si>
  <si>
    <t>racks</t>
  </si>
  <si>
    <t>PH</t>
  </si>
  <si>
    <t>Chloride</t>
  </si>
  <si>
    <t>Bromide</t>
  </si>
  <si>
    <t>Boron</t>
  </si>
  <si>
    <t>Recovery (%)</t>
  </si>
  <si>
    <t xml:space="preserve"># Trains in </t>
  </si>
  <si>
    <t>per hp pump</t>
  </si>
  <si>
    <t xml:space="preserve">per ERD </t>
  </si>
  <si>
    <t>brine to pumps</t>
  </si>
  <si>
    <t>per ERD pump</t>
  </si>
  <si>
    <t>brine to ERD</t>
  </si>
  <si>
    <t>front permeate</t>
  </si>
  <si>
    <t xml:space="preserve">inlet </t>
  </si>
  <si>
    <t>inlet</t>
  </si>
  <si>
    <t>1st permeate</t>
  </si>
  <si>
    <t>1st brine</t>
  </si>
  <si>
    <t>2st permeate</t>
  </si>
  <si>
    <t>2ns pass Brine</t>
  </si>
  <si>
    <t>2st brine per train</t>
  </si>
  <si>
    <t>permeate</t>
  </si>
  <si>
    <t>brine</t>
  </si>
  <si>
    <t xml:space="preserve">front </t>
  </si>
  <si>
    <t xml:space="preserve">rear </t>
  </si>
  <si>
    <t>2nd permeate</t>
  </si>
  <si>
    <t>ref</t>
  </si>
  <si>
    <t>mg/l</t>
  </si>
  <si>
    <t>degC</t>
  </si>
  <si>
    <t>1st</t>
  </si>
  <si>
    <t>2nd</t>
  </si>
  <si>
    <t>1st stg</t>
  </si>
  <si>
    <t>2nd stg</t>
  </si>
  <si>
    <t>total</t>
  </si>
  <si>
    <t>Operation</t>
  </si>
  <si>
    <t>- BRINE 2nd pass</t>
  </si>
  <si>
    <t>(pump)</t>
  </si>
  <si>
    <t xml:space="preserve">per 2ND pass </t>
  </si>
  <si>
    <t>pump</t>
  </si>
  <si>
    <t xml:space="preserve"> </t>
  </si>
  <si>
    <t>Max</t>
  </si>
  <si>
    <t>Per Train PV</t>
  </si>
  <si>
    <t>Sodium</t>
  </si>
  <si>
    <t>Br to Cl psg</t>
  </si>
  <si>
    <t>PRESSURE, psig</t>
  </si>
  <si>
    <t>FLUX, GFD</t>
  </si>
  <si>
    <t>Brine</t>
  </si>
  <si>
    <t>Recovery</t>
  </si>
  <si>
    <t>Total</t>
  </si>
  <si>
    <t>kwh/m3</t>
  </si>
  <si>
    <t>Targets</t>
  </si>
  <si>
    <t>Hydranautics</t>
  </si>
  <si>
    <t xml:space="preserve">TOTAL inlet to RO </t>
  </si>
  <si>
    <t>membranes</t>
  </si>
  <si>
    <t>to HPP</t>
  </si>
  <si>
    <t xml:space="preserve">ERD Recic </t>
  </si>
  <si>
    <t xml:space="preserve">total  </t>
  </si>
  <si>
    <t xml:space="preserve">2nd pass </t>
  </si>
  <si>
    <t>Avg</t>
  </si>
  <si>
    <t>FLOW, gpm</t>
  </si>
  <si>
    <t>wont converge</t>
  </si>
  <si>
    <t>P&amp;ID tag</t>
  </si>
  <si>
    <t>Title</t>
  </si>
  <si>
    <t>Facility Name</t>
  </si>
  <si>
    <t>General Description</t>
  </si>
  <si>
    <t>Duty</t>
  </si>
  <si>
    <t>Standby</t>
  </si>
  <si>
    <t>Future</t>
  </si>
  <si>
    <t>Unit Capacity</t>
  </si>
  <si>
    <t>Motor Rated Horsepower</t>
  </si>
  <si>
    <t>Voltage</t>
  </si>
  <si>
    <t>Speed Control</t>
  </si>
  <si>
    <t>Brake Horsepower</t>
  </si>
  <si>
    <t>Unit Size</t>
  </si>
  <si>
    <t>Total Duty Capacity</t>
  </si>
  <si>
    <t>Equipment Type</t>
  </si>
  <si>
    <t>Packaged Equipment</t>
  </si>
  <si>
    <t>Total Connected Load (kW)</t>
  </si>
  <si>
    <t>Total Expected Load (kW)</t>
  </si>
  <si>
    <t>Standby Power Required</t>
  </si>
  <si>
    <t>Control System</t>
  </si>
  <si>
    <t>Additional FutureBuildout QTY</t>
  </si>
  <si>
    <t>Materials of Construction</t>
  </si>
  <si>
    <t>Other Features</t>
  </si>
  <si>
    <t>A - Manufacturer</t>
  </si>
  <si>
    <t>B - Manufacturers</t>
  </si>
  <si>
    <t>Equipment Package Number</t>
  </si>
  <si>
    <t>Contact Person</t>
  </si>
  <si>
    <t>Modified</t>
  </si>
  <si>
    <t>ID</t>
  </si>
  <si>
    <t>EventAccessLevel</t>
  </si>
  <si>
    <t>Item Type</t>
  </si>
  <si>
    <t>Path</t>
  </si>
  <si>
    <t>Dilution Water Pump 1(for chem feed)</t>
  </si>
  <si>
    <t>Constant</t>
  </si>
  <si>
    <t>Process - Mechanical</t>
  </si>
  <si>
    <t>5</t>
  </si>
  <si>
    <t>Item</t>
  </si>
  <si>
    <t>proposals/MontereyDesalinationWTP/Lists/Equipment List</t>
  </si>
  <si>
    <t>Dilution Water Pump 2 (for chem feed)</t>
  </si>
  <si>
    <t>VRF Cooling/Heating, 5.92 kW (8.2 A @ 480/3)</t>
  </si>
  <si>
    <t>10-Administration Building</t>
  </si>
  <si>
    <t>5.92 kW</t>
  </si>
  <si>
    <t>HVAC</t>
  </si>
  <si>
    <t>DOAS Air Handler 18.5 FLA @480/3, 22.5 MCA</t>
  </si>
  <si>
    <t>22.5 MCA</t>
  </si>
  <si>
    <t>10-EF-01, Lab Exhaust Fan</t>
  </si>
  <si>
    <t>VRF Indoor Fan Coil Units</t>
  </si>
  <si>
    <t>(12) units, 100 W each</t>
  </si>
  <si>
    <t>VRF Branch Selector Unit</t>
  </si>
  <si>
    <t>178 W</t>
  </si>
  <si>
    <t>10-GUH-01, Unit Heater</t>
  </si>
  <si>
    <t>10-EF-02, Exhaust Fan</t>
  </si>
  <si>
    <t>Wafer Style Static Mixer</t>
  </si>
  <si>
    <t>24-Pretreatment Facility</t>
  </si>
  <si>
    <t>Raw Water Metering Station</t>
  </si>
  <si>
    <t>30" flange</t>
  </si>
  <si>
    <t>Filter Controller</t>
  </si>
  <si>
    <t>Future Blowers + MCC Room 1</t>
  </si>
  <si>
    <t>Future Blowers + MCC Room 2</t>
  </si>
  <si>
    <t>Media Filter 1</t>
  </si>
  <si>
    <t>Media Filter 2</t>
  </si>
  <si>
    <t>Media Filter 3</t>
  </si>
  <si>
    <t>Media Filter 4</t>
  </si>
  <si>
    <t>Media Filter 5</t>
  </si>
  <si>
    <t>Media Filter 6</t>
  </si>
  <si>
    <t>Media Filter 7</t>
  </si>
  <si>
    <t>Media Filter 8</t>
  </si>
  <si>
    <t>Media Filter 9</t>
  </si>
  <si>
    <t>Media Filter 10</t>
  </si>
  <si>
    <t>24-SF-01/Supply Fan</t>
  </si>
  <si>
    <t>Variable</t>
  </si>
  <si>
    <t>24-SF-02/Supply Fan</t>
  </si>
  <si>
    <t>24-EF-01/Exhaust Fan</t>
  </si>
  <si>
    <t>24-EF-02/Exhaust Fan</t>
  </si>
  <si>
    <t>24-GUH-01/Unit Heater</t>
  </si>
  <si>
    <t>24-GUH-02/Unit Heater</t>
  </si>
  <si>
    <t>24-ACU-01 Wall Mount AC Unit</t>
  </si>
  <si>
    <t>18 MCA</t>
  </si>
  <si>
    <t>24TNK751</t>
  </si>
  <si>
    <t>Polymer Feed Tank</t>
  </si>
  <si>
    <t>24PMP761</t>
  </si>
  <si>
    <t>Non-Ionic Polymer Feed Pump 1</t>
  </si>
  <si>
    <t>24PMP762</t>
  </si>
  <si>
    <t>Non-Ionic Polymer Feed Pump 2</t>
  </si>
  <si>
    <t>28PMP201</t>
  </si>
  <si>
    <t>Backwash Supply Pump 1</t>
  </si>
  <si>
    <t>28-Filtered Water &amp; Backwash PS</t>
  </si>
  <si>
    <t>28PMP202</t>
  </si>
  <si>
    <t>Backwash Supply Pump 2</t>
  </si>
  <si>
    <t>28PMP104</t>
  </si>
  <si>
    <t>Cartridge Filter Feed Pump 4</t>
  </si>
  <si>
    <t>28PMP103</t>
  </si>
  <si>
    <t>Cartridge Filter Feed Pump 3</t>
  </si>
  <si>
    <t>28PMP101</t>
  </si>
  <si>
    <t>Cartridge Filter Feed Pump 1</t>
  </si>
  <si>
    <t>Backwash Lagoons/ Sludge Drying Bed 1</t>
  </si>
  <si>
    <t>Backwash Lagoons/ Sludge Drying Bed 2</t>
  </si>
  <si>
    <t>28PMP102</t>
  </si>
  <si>
    <t>Cartridge Filter Feed Pump 2</t>
  </si>
  <si>
    <t>28PMP105</t>
  </si>
  <si>
    <t>Cartridge Filter Feed Pump 5</t>
  </si>
  <si>
    <t>37PMP101</t>
  </si>
  <si>
    <t>Recycle Pump 1</t>
  </si>
  <si>
    <t>38-Recycle PS</t>
  </si>
  <si>
    <t>Raw Water Recycle (RWR) at Backwash Waste Basins</t>
  </si>
  <si>
    <t>800 gpm @ 87 ft TDH</t>
  </si>
  <si>
    <t>1600 gpm @ 87 ft TDH</t>
  </si>
  <si>
    <t>FRP vinyl-ester resin</t>
  </si>
  <si>
    <t>1800 rpm</t>
  </si>
  <si>
    <t>FYbroc 1500 size 4x6x13</t>
  </si>
  <si>
    <t>Vanton</t>
  </si>
  <si>
    <t>37PMP102</t>
  </si>
  <si>
    <t>Recycle Pump 2</t>
  </si>
  <si>
    <t>37PMP103</t>
  </si>
  <si>
    <t>Recycle Pump 3</t>
  </si>
  <si>
    <t>42-RO Facility</t>
  </si>
  <si>
    <t>42PMP201</t>
  </si>
  <si>
    <t>1st Pass RO Feed Pump 1</t>
  </si>
  <si>
    <t>42PMP202</t>
  </si>
  <si>
    <t>1st Pass RO Feed Pump 2</t>
  </si>
  <si>
    <t>42PMP203</t>
  </si>
  <si>
    <t>1st Pass RO Feed Pump 3</t>
  </si>
  <si>
    <t>42PMP204</t>
  </si>
  <si>
    <t>1st Pass RO Feed Pump 4</t>
  </si>
  <si>
    <t>42PMP205</t>
  </si>
  <si>
    <t>1st Pass RO Feed Pump 5</t>
  </si>
  <si>
    <t>42PMP206</t>
  </si>
  <si>
    <t>1st Pass RO Feed Pump 6</t>
  </si>
  <si>
    <t>42PMP207</t>
  </si>
  <si>
    <t>1st Pass RO Feed Pump 7</t>
  </si>
  <si>
    <t>42PMP401</t>
  </si>
  <si>
    <t>1st Pass RO ERD Booster Feed Pump 1</t>
  </si>
  <si>
    <t>42PMP402</t>
  </si>
  <si>
    <t>1st Pass RO ERD Booster Feed Pump 2</t>
  </si>
  <si>
    <t>42PMP403</t>
  </si>
  <si>
    <t>1st Pass RO ERD Booster Feed Pump 3</t>
  </si>
  <si>
    <t>42PMP404</t>
  </si>
  <si>
    <t>1st Pass RO ERD Booster Feed Pump 4</t>
  </si>
  <si>
    <t>42PMP405</t>
  </si>
  <si>
    <t>1st Pass RO ERD Booster Feed Pump 5</t>
  </si>
  <si>
    <t>42PMP406</t>
  </si>
  <si>
    <t>1st Pass RO ERD Booster Feed Pump 6</t>
  </si>
  <si>
    <t>42PMP407</t>
  </si>
  <si>
    <t>1st Pass RO ERD Booster Feed Pump 7</t>
  </si>
  <si>
    <t>42PMP801</t>
  </si>
  <si>
    <t>42PMP901</t>
  </si>
  <si>
    <t>Neutralization Transfer Pump</t>
  </si>
  <si>
    <t>42PMP511</t>
  </si>
  <si>
    <t>RO Flush Pump 1</t>
  </si>
  <si>
    <t>42PMP512</t>
  </si>
  <si>
    <t>RO Flush Pump 2</t>
  </si>
  <si>
    <t>2nd Pass HP Feed Pump 1</t>
  </si>
  <si>
    <t>2nd Pass HP Feed Pump 2</t>
  </si>
  <si>
    <t>1st pass trench submersible sump pump 1</t>
  </si>
  <si>
    <t>1st pass trench submersible sump pump 2</t>
  </si>
  <si>
    <t>2nd pass trench submersible sump pump 1</t>
  </si>
  <si>
    <t>1st pass RO train 71 x 7M Vessel 1</t>
  </si>
  <si>
    <t>1st pass RO train 71 x 7M Vessel 2</t>
  </si>
  <si>
    <t>1st pass RO train 71 x 7M Vessel 3</t>
  </si>
  <si>
    <t>1st pass RO train 71 x 7M Vessel 4</t>
  </si>
  <si>
    <t>1st pass RO train 71 x 7M Vessel 5</t>
  </si>
  <si>
    <t>1st pass RO train 71 x 7M Vessel 6</t>
  </si>
  <si>
    <t>1st pass RO train 71 x 7M Vessel 7</t>
  </si>
  <si>
    <t>42FLT111</t>
  </si>
  <si>
    <t>Cartridge Filter 1</t>
  </si>
  <si>
    <t>42FLT112</t>
  </si>
  <si>
    <t>Cartridge Filter 2</t>
  </si>
  <si>
    <t>42FLT113</t>
  </si>
  <si>
    <t>Cartridge Filter 3</t>
  </si>
  <si>
    <t>42FLT114</t>
  </si>
  <si>
    <t>Cartridge Filter 4</t>
  </si>
  <si>
    <t>42FLT115</t>
  </si>
  <si>
    <t>Cartridge Filter 5</t>
  </si>
  <si>
    <t>42FLT116</t>
  </si>
  <si>
    <t>Cartridge Filter 6</t>
  </si>
  <si>
    <t>42FLT117</t>
  </si>
  <si>
    <t>Cartridge Filter 7</t>
  </si>
  <si>
    <t>CIP Tank</t>
  </si>
  <si>
    <t>10000 gal</t>
  </si>
  <si>
    <t>CIP Tank Heater</t>
  </si>
  <si>
    <t>200 kW</t>
  </si>
  <si>
    <t>42TNK911</t>
  </si>
  <si>
    <t>Discharge Neutralization Tank</t>
  </si>
  <si>
    <t>32000 gal</t>
  </si>
  <si>
    <t>Flush Tank</t>
  </si>
  <si>
    <t>68000 gal</t>
  </si>
  <si>
    <t>2nd pass RO train 26 x 13 7M Vessel 1</t>
  </si>
  <si>
    <t>2nd pass RO train 26 x 13 7M Vessel 2</t>
  </si>
  <si>
    <t>2nd pass RO train 26 x 13 7M Vessel 3</t>
  </si>
  <si>
    <t>42-SF-01/Supply Fan</t>
  </si>
  <si>
    <t>42-SF-02/Supply Fan</t>
  </si>
  <si>
    <t>42-SF-03/Supply Fan</t>
  </si>
  <si>
    <t>42-SF-04/Supply Fan</t>
  </si>
  <si>
    <t>42-SF-05/Supply Fan</t>
  </si>
  <si>
    <t>42-SF-06/Supply Fan</t>
  </si>
  <si>
    <t>42-SF-07/Supply Fan</t>
  </si>
  <si>
    <t>42-SF-08/Supply Fan</t>
  </si>
  <si>
    <t>42-SF-09/Supply Fan</t>
  </si>
  <si>
    <t>42-SF-10/Supply Fan</t>
  </si>
  <si>
    <t>42-SF-11/Supply Fan</t>
  </si>
  <si>
    <t>42-SF-12/Supply Fan</t>
  </si>
  <si>
    <t>42-EF-01/Exhaust Fan</t>
  </si>
  <si>
    <t>42-EF-02/Exhaust Fan</t>
  </si>
  <si>
    <t>42-EF-03/Exhaust Fan</t>
  </si>
  <si>
    <t>42-EF-04/Exhaust Fan</t>
  </si>
  <si>
    <t>42-EF-05/Exhaust Fan</t>
  </si>
  <si>
    <t>42-EF/06/Exhaust Fan</t>
  </si>
  <si>
    <t>42-EF-07/Exhaust Fan</t>
  </si>
  <si>
    <t>42-EF-08/Exhaust Fan</t>
  </si>
  <si>
    <t>42-EF-09/Exhaust Fan</t>
  </si>
  <si>
    <t>42-EF-10/Exhaust Fan</t>
  </si>
  <si>
    <t>42-EF-11/Exhaust Fan</t>
  </si>
  <si>
    <t>42-EF-12/Exhaust Fan</t>
  </si>
  <si>
    <t>42-EF-13/Exhaust Fan</t>
  </si>
  <si>
    <t>42-EF-14/Exhaust Fan</t>
  </si>
  <si>
    <t>42-GUH-01/Unit Heater</t>
  </si>
  <si>
    <t>42-GUH-02/Unit Heater</t>
  </si>
  <si>
    <t>42-GUH-03/Unit Heater</t>
  </si>
  <si>
    <t>42-GUH-04/Unit Heater</t>
  </si>
  <si>
    <t>42-GUH-05/Unit Heater</t>
  </si>
  <si>
    <t>42-GUH-06/Unit Heater</t>
  </si>
  <si>
    <t>42-GUH-07/Unit Heater</t>
  </si>
  <si>
    <t>42-GUH-08/Unit Heater</t>
  </si>
  <si>
    <t>42-GUH-09/Unit Heater</t>
  </si>
  <si>
    <t>42-GUH-10/Unit Heater</t>
  </si>
  <si>
    <t>42-GUH-11/Unit Heater</t>
  </si>
  <si>
    <t>42-GUH-12/Unit Heater</t>
  </si>
  <si>
    <t>42-GUH-13/Unit Heater</t>
  </si>
  <si>
    <t>42-GUH-14/Unit Heater</t>
  </si>
  <si>
    <t>42-GUH-15/Unit Heater</t>
  </si>
  <si>
    <t>42-GUH-16/Unit Heater</t>
  </si>
  <si>
    <t>42-GUH-17/Unit Heater</t>
  </si>
  <si>
    <t>42-GUH-18/Unit Heater</t>
  </si>
  <si>
    <t>42-GUH-19/Unit Heater</t>
  </si>
  <si>
    <t>42-GUH-20/Unit Heater</t>
  </si>
  <si>
    <t>2nd pass trench submersible sump pump 2</t>
  </si>
  <si>
    <t>Single element RO test stand</t>
  </si>
  <si>
    <t>42-SF-13, Supply Fan</t>
  </si>
  <si>
    <t>42-ACU-01 Wall Mount AC Unit</t>
  </si>
  <si>
    <t>23 MCA</t>
  </si>
  <si>
    <t>42-ACU-02 Wall Mount AC Unit</t>
  </si>
  <si>
    <t>42-ACU-03 Wall Mount AC Unit</t>
  </si>
  <si>
    <t>42-ACU-04 Wall Mount AC Unit</t>
  </si>
  <si>
    <t>42-ACU-05 Wall Mount AC Unit</t>
  </si>
  <si>
    <t>42-ACU-06 Wall Mount AC Unit</t>
  </si>
  <si>
    <t>42-ACU-07 Wall Mount AC Unit</t>
  </si>
  <si>
    <t>42-ACU-08 Wall Mount AC Unit</t>
  </si>
  <si>
    <t>42-ACU-09 Wall Mount AC Unit</t>
  </si>
  <si>
    <t>42PMP208</t>
  </si>
  <si>
    <t>1st Pass HP Feed Pump 8</t>
  </si>
  <si>
    <t>42PMP209</t>
  </si>
  <si>
    <t>1st Pass HP Feed Pump 9</t>
  </si>
  <si>
    <t>1st Pass ERD Recir Pump 8</t>
  </si>
  <si>
    <t>1st Pass ERD Recir Pump 9</t>
  </si>
  <si>
    <t>2nd Pass HP Feed Pump 4</t>
  </si>
  <si>
    <t>42TNK501</t>
  </si>
  <si>
    <t>RO FLUSH INTERMEDIATE PERMEATE TANK</t>
  </si>
  <si>
    <t>42PMP701</t>
  </si>
  <si>
    <t>RO Membrane Feed Pump</t>
  </si>
  <si>
    <t>42TNK811</t>
  </si>
  <si>
    <t>RO Membrane Cleaning Tank</t>
  </si>
  <si>
    <t>44PMP761</t>
  </si>
  <si>
    <t>Polymer Feed Pump 1</t>
  </si>
  <si>
    <t>44-Chemical Facility</t>
  </si>
  <si>
    <t>44PMP762</t>
  </si>
  <si>
    <t>Polymer Feed Pump 2</t>
  </si>
  <si>
    <t>44PMP401</t>
  </si>
  <si>
    <t>Sodium Hypochlorite Addition Pump 1</t>
  </si>
  <si>
    <t>44PMP402</t>
  </si>
  <si>
    <t>Sodium Hypochlorite Addition Pump 2</t>
  </si>
  <si>
    <t>44PMP403</t>
  </si>
  <si>
    <t>Sodium Hypochlorite Addition Pump 3</t>
  </si>
  <si>
    <t>44PMP404</t>
  </si>
  <si>
    <t>Sodium Hypochlorite Addition Pump 4</t>
  </si>
  <si>
    <t>44PMP601</t>
  </si>
  <si>
    <t>Sodium Bisulfite Addition Pump 1</t>
  </si>
  <si>
    <t>44PMP602</t>
  </si>
  <si>
    <t>Sodium Bisulfite Addition Pump 2</t>
  </si>
  <si>
    <t>44PMP101</t>
  </si>
  <si>
    <t>Sulfuric Acid Feed Pump 1</t>
  </si>
  <si>
    <t>44PMP102</t>
  </si>
  <si>
    <t>Sulfuric Acid Feed Pump 2</t>
  </si>
  <si>
    <t>44PMP201</t>
  </si>
  <si>
    <t>Threshold Inhibitor Addition Pump 1</t>
  </si>
  <si>
    <t>44PMP202</t>
  </si>
  <si>
    <t>Threshold Inhibitor Addition Pump 2</t>
  </si>
  <si>
    <t>44PMP203</t>
  </si>
  <si>
    <t>Threshold Inhibitor Addition Pump 3</t>
  </si>
  <si>
    <t>44PSH204</t>
  </si>
  <si>
    <t>Threshold Inhibitor Addition Pump 4</t>
  </si>
  <si>
    <t>44PMP301</t>
  </si>
  <si>
    <t>Sodium Hydroxide Addition Pump 1</t>
  </si>
  <si>
    <t>44PMP302</t>
  </si>
  <si>
    <t>Sodium Hydroxide Addition Pump 2</t>
  </si>
  <si>
    <t>44PMP303</t>
  </si>
  <si>
    <t>Sodium Hydroxide Addition Pump 3</t>
  </si>
  <si>
    <t>44PMP304</t>
  </si>
  <si>
    <t>Sodium Hydroxide Transfer Pump 1</t>
  </si>
  <si>
    <t>44PMP701</t>
  </si>
  <si>
    <t>Zink Orthophosphate Addition  Pump 1</t>
  </si>
  <si>
    <t>44PMP702</t>
  </si>
  <si>
    <t>Zink Orthophosphate Addition Pump 2</t>
  </si>
  <si>
    <t>44PMP501</t>
  </si>
  <si>
    <t>Lime Slurry Pump 1</t>
  </si>
  <si>
    <t>44PMP502</t>
  </si>
  <si>
    <t>Lime Slurry Pump 2</t>
  </si>
  <si>
    <t>Polymer Drum</t>
  </si>
  <si>
    <t>Hypochlorite Brine Tank 1</t>
  </si>
  <si>
    <t>Hypochlorite Generator 1</t>
  </si>
  <si>
    <t>90 A</t>
  </si>
  <si>
    <t>Hypochlorite Solution Tank 1</t>
  </si>
  <si>
    <t>44TNK611</t>
  </si>
  <si>
    <t>Bisulfite Tank</t>
  </si>
  <si>
    <t>44TNK111</t>
  </si>
  <si>
    <t>Sulfuric Acid Tank</t>
  </si>
  <si>
    <t>44TNK211</t>
  </si>
  <si>
    <t>Threshold Inhibitor Tank</t>
  </si>
  <si>
    <t>44TNK311</t>
  </si>
  <si>
    <t>Sodium Hydroxide Tank</t>
  </si>
  <si>
    <t>44TNK711</t>
  </si>
  <si>
    <t>Zink Orthophosphate Tank</t>
  </si>
  <si>
    <t>Hydrated Lime Silo &amp; Slaking System</t>
  </si>
  <si>
    <t>60 A</t>
  </si>
  <si>
    <t>44TNK801</t>
  </si>
  <si>
    <t>Carbon Dioxide Storage Tank 1</t>
  </si>
  <si>
    <t>Hypochlorite Solution Tank 2</t>
  </si>
  <si>
    <t>Hypochlorite Generator 2</t>
  </si>
  <si>
    <t>Hypochlorite Generator 3</t>
  </si>
  <si>
    <t>Hypochlorite Brine Tank 2</t>
  </si>
  <si>
    <t>Polymer Blend System</t>
  </si>
  <si>
    <t>44PMP405</t>
  </si>
  <si>
    <t>Sodium Hypochlorite Addition Pump 5</t>
  </si>
  <si>
    <t>44PMP406</t>
  </si>
  <si>
    <t>Sodium Hypochlorite Addtion Pump 6</t>
  </si>
  <si>
    <t>44PMP407</t>
  </si>
  <si>
    <t>Sodium Hypochlorite Addition Pump 7</t>
  </si>
  <si>
    <t>44PMP603</t>
  </si>
  <si>
    <t>Sodium Bisulfite Addition Pump 3</t>
  </si>
  <si>
    <t>44PMP103</t>
  </si>
  <si>
    <t>Sulfuric Acid Feed Pump 3</t>
  </si>
  <si>
    <t>44PMP104</t>
  </si>
  <si>
    <t>Sulfuric Acid Feed Pump 4</t>
  </si>
  <si>
    <t>44PMP105</t>
  </si>
  <si>
    <t>Sulfuric Acid Transfer Pump 1</t>
  </si>
  <si>
    <t>Sulfuric Acid Feed Pump 6</t>
  </si>
  <si>
    <t>44PSH205</t>
  </si>
  <si>
    <t>Threshold Inhibitor Addition Pump 5</t>
  </si>
  <si>
    <t>Hydrated Lime Silo Heater 1</t>
  </si>
  <si>
    <t>10 kW</t>
  </si>
  <si>
    <t>Hydrated Lime Silo Heater 2</t>
  </si>
  <si>
    <t>Hydrated Lime Silo Exhaust Fan</t>
  </si>
  <si>
    <t>Hydrated Lime Silo Unloading LCP</t>
  </si>
  <si>
    <t>30 A</t>
  </si>
  <si>
    <t>Hydrated Lime Silo Damper</t>
  </si>
  <si>
    <t>Zink Orthophosphate Feed Pump 3</t>
  </si>
  <si>
    <t>Zink Orthophosphate Feed Pump 4</t>
  </si>
  <si>
    <t>44PMP305</t>
  </si>
  <si>
    <t>Sodium Hydroxide Addition Pump 4</t>
  </si>
  <si>
    <t>44PMP306</t>
  </si>
  <si>
    <t>Sodium Hydroxide Addition Pump 5</t>
  </si>
  <si>
    <t>Sodium Hydroxide Feed Pump 7</t>
  </si>
  <si>
    <t>Carbon Dioxide Vaporizer 1</t>
  </si>
  <si>
    <t>12 kW</t>
  </si>
  <si>
    <t>Carbon Dioxide Vaporizer 2</t>
  </si>
  <si>
    <t>Carbon Dioxide Vapor Heater 1</t>
  </si>
  <si>
    <t>4 kW</t>
  </si>
  <si>
    <t>1 ph (not 3 ph)</t>
  </si>
  <si>
    <t>Carbon Dioxide Vapor Heater 2</t>
  </si>
  <si>
    <t>Hypochlorite Water Heater 1</t>
  </si>
  <si>
    <t>27 kW</t>
  </si>
  <si>
    <t>Hypochlorite Water Heater 2</t>
  </si>
  <si>
    <t>Hypochlorite Water Heater 3</t>
  </si>
  <si>
    <t>Hypochlorite Tank 1 Blower</t>
  </si>
  <si>
    <t>44BLR402</t>
  </si>
  <si>
    <t>Hypochlorite Tank 2 Blower</t>
  </si>
  <si>
    <t>44BLR401</t>
  </si>
  <si>
    <t>Hypochlorite Generation Blower</t>
  </si>
  <si>
    <t>44-SF-01/Supply Fan</t>
  </si>
  <si>
    <t>44-SF-02/Supply Fan</t>
  </si>
  <si>
    <t>44-SF-03/Supply Fan</t>
  </si>
  <si>
    <t>44-SF-04/Supply Fan</t>
  </si>
  <si>
    <t>44-SF-05/Supply Fan</t>
  </si>
  <si>
    <t>44-SF-06/Supply Fan</t>
  </si>
  <si>
    <t>44-SF-07/Supply Fan</t>
  </si>
  <si>
    <t>44-SF-08/Supply Fan</t>
  </si>
  <si>
    <t>44-EF-01/Exhaust Fan</t>
  </si>
  <si>
    <t>44-EF-02/Exhaust Fan</t>
  </si>
  <si>
    <t>44-EF-03/Exhaust Fan</t>
  </si>
  <si>
    <t>44-EF-04/Exhaust Fan</t>
  </si>
  <si>
    <t>44-EF-05/Exhaust Fan</t>
  </si>
  <si>
    <t>44-EF-06/Exhaust Fan</t>
  </si>
  <si>
    <t>44-EF-07/Exhaust Fan</t>
  </si>
  <si>
    <t>44-GUH-01/Unit Heater</t>
  </si>
  <si>
    <t>44-GUH-02/Unit Heater</t>
  </si>
  <si>
    <t>44-GUH-03/Unit Heater</t>
  </si>
  <si>
    <t>44-GUH-04/Unit Heater</t>
  </si>
  <si>
    <t>44-GUH-05/Unit Heater</t>
  </si>
  <si>
    <t>44-GUH-06/Unit Heater</t>
  </si>
  <si>
    <t>44-GUH-07/Unit Heater</t>
  </si>
  <si>
    <t>44-GUH-08/Unit Heater</t>
  </si>
  <si>
    <t>44-GUH-09/Unit Heater</t>
  </si>
  <si>
    <t>Sodium Hydroxide Tank Heater</t>
  </si>
  <si>
    <t>Need to determine low density heat tracing req.</t>
  </si>
  <si>
    <t>45 kW</t>
  </si>
  <si>
    <t>44-ACU-01 Wall Mount AC Unit</t>
  </si>
  <si>
    <t>44TNK411</t>
  </si>
  <si>
    <t>Sodium Hypochlorite Tank</t>
  </si>
  <si>
    <t>44TNK412</t>
  </si>
  <si>
    <t>44PMP604</t>
  </si>
  <si>
    <t>Sodium Bisulfite Feed Pump 4</t>
  </si>
  <si>
    <t>44PMP605</t>
  </si>
  <si>
    <t>Sodium Bisulfite Feed Pump 5</t>
  </si>
  <si>
    <t>52UVU101</t>
  </si>
  <si>
    <t>UV Disenfection Unit No.  1</t>
  </si>
  <si>
    <t>52-UV Facility</t>
  </si>
  <si>
    <t>20kW</t>
  </si>
  <si>
    <t>52UVU102</t>
  </si>
  <si>
    <t>UV Disenfection Unit No. 2</t>
  </si>
  <si>
    <t>52-SF-01/Supply Fan</t>
  </si>
  <si>
    <t>52-SF-02/Supply Fan</t>
  </si>
  <si>
    <t>58PMP101</t>
  </si>
  <si>
    <t>Finished Water Pump 1</t>
  </si>
  <si>
    <t>58-Finished Water PS</t>
  </si>
  <si>
    <t>58PMP102</t>
  </si>
  <si>
    <t>Finished Water Pump 2</t>
  </si>
  <si>
    <t>58PMP103</t>
  </si>
  <si>
    <t>Finished Water Pump 3</t>
  </si>
  <si>
    <t>58PMP104</t>
  </si>
  <si>
    <t>Finished Water Pump 4</t>
  </si>
  <si>
    <t>58TNK111</t>
  </si>
  <si>
    <t>Finished Water Receiving Tank 1</t>
  </si>
  <si>
    <t>58TNK112</t>
  </si>
  <si>
    <t>Finished Water Receiving Tank 2</t>
  </si>
  <si>
    <t>58PMP201</t>
  </si>
  <si>
    <t>Salinas Valley Desal Transfer Pump 1</t>
  </si>
  <si>
    <t>(hp not confirmed)</t>
  </si>
  <si>
    <t>835 gpm @ 30'</t>
  </si>
  <si>
    <t>58PMP202</t>
  </si>
  <si>
    <t>Salinas Valley Desal Transfer Pump 2</t>
  </si>
  <si>
    <t>58PMP105</t>
  </si>
  <si>
    <t>60-SF-01/Supply Fan</t>
  </si>
  <si>
    <t>60-Finished Water EE Bldg</t>
  </si>
  <si>
    <t>60-ACU-01 Wall Mount AC Unit</t>
  </si>
  <si>
    <t>18</t>
  </si>
  <si>
    <t>Brine Storage Basin</t>
  </si>
  <si>
    <t>67-Brine Storage Pond</t>
  </si>
  <si>
    <t>68PMP101</t>
  </si>
  <si>
    <t>Brine Pump 1</t>
  </si>
  <si>
    <t>68-Brine PS</t>
  </si>
  <si>
    <t>4167 gpm @ 30 ft TDH</t>
  </si>
  <si>
    <t>1200 rpm</t>
  </si>
  <si>
    <t>FYbroc 1500 size 10x12x6</t>
  </si>
  <si>
    <t>68PMP102</t>
  </si>
  <si>
    <t>Brine Pump 2</t>
  </si>
  <si>
    <t>Lime Feed System</t>
  </si>
  <si>
    <t>Other</t>
  </si>
  <si>
    <t>Wafter Style Static Mixer</t>
  </si>
  <si>
    <t>Mixing Injection Station on Treated Water line</t>
  </si>
  <si>
    <t>20" flange</t>
  </si>
  <si>
    <t>ALT: Calcite Upflow Contactor 1</t>
  </si>
  <si>
    <t>ALT: Calcite Upflow Contactor 2</t>
  </si>
  <si>
    <t>ALT: Calcite Upflow Contactor 3</t>
  </si>
  <si>
    <t>ALT: Calcite Upflow Contactor 4</t>
  </si>
  <si>
    <t>ALT: Calcite Upflow Contactor 5</t>
  </si>
  <si>
    <t>ALT: Calcite Upflow Contactor 6</t>
  </si>
  <si>
    <t>Load Type</t>
  </si>
  <si>
    <t>1=continuous</t>
  </si>
  <si>
    <t>2=Intermittent</t>
  </si>
  <si>
    <t>Op time</t>
  </si>
  <si>
    <t>hrs/day</t>
  </si>
  <si>
    <t>Max KW</t>
  </si>
  <si>
    <t>over plant</t>
  </si>
  <si>
    <t>life</t>
  </si>
  <si>
    <t>Acc test</t>
  </si>
  <si>
    <t xml:space="preserve">kW  </t>
  </si>
  <si>
    <t xml:space="preserve">during </t>
  </si>
  <si>
    <t>9.6 MGD</t>
  </si>
  <si>
    <t>see pump calcs page</t>
  </si>
  <si>
    <t>These do not run when the RO is running</t>
  </si>
  <si>
    <t>RO Cleaning  Pump</t>
  </si>
  <si>
    <t>No cleaning during acceptance test</t>
  </si>
  <si>
    <t>Wont be running these pumps during acceptance test</t>
  </si>
  <si>
    <t>We shall not run these pumps during the acceptance test</t>
  </si>
  <si>
    <t xml:space="preserve">We will not use this </t>
  </si>
  <si>
    <t>filter BW</t>
  </si>
  <si>
    <t>standby for filter BW</t>
  </si>
  <si>
    <t>post treat</t>
  </si>
  <si>
    <t>standby post treat</t>
  </si>
  <si>
    <t>transfer pump</t>
  </si>
  <si>
    <t>standby</t>
  </si>
  <si>
    <t>negligible</t>
  </si>
  <si>
    <t>4,5 second pass</t>
  </si>
  <si>
    <t>Cartridge Filter Feed Pumps</t>
  </si>
  <si>
    <t>Total gpm</t>
  </si>
  <si>
    <t>psi</t>
  </si>
  <si>
    <t># Pumps</t>
  </si>
  <si>
    <t>pump eff</t>
  </si>
  <si>
    <t>motor eff</t>
  </si>
  <si>
    <t>Default VFD efficiency</t>
  </si>
  <si>
    <t>Pump kW</t>
  </si>
  <si>
    <t>Energy Consumption</t>
  </si>
  <si>
    <t>kwh/1000 gal</t>
  </si>
  <si>
    <t>kW/1000 gal product</t>
  </si>
  <si>
    <t>Cases</t>
  </si>
  <si>
    <t>RO Feed Pumps</t>
  </si>
  <si>
    <t>ERD Recirc Pumps</t>
  </si>
  <si>
    <t># pumps</t>
  </si>
  <si>
    <t>Pump Flow, gpm</t>
  </si>
  <si>
    <t>2nd Pass RO Feed Pumps</t>
  </si>
  <si>
    <t>Distribution Pumps</t>
  </si>
  <si>
    <t>pH</t>
  </si>
  <si>
    <t># Trains</t>
  </si>
  <si>
    <t>Flow, gpm</t>
  </si>
  <si>
    <t>1st Pass</t>
  </si>
  <si>
    <t>2nd Pass</t>
  </si>
  <si>
    <t>Pressure, psig</t>
  </si>
  <si>
    <t>Flux, GFD</t>
  </si>
  <si>
    <t>Transformer losses</t>
  </si>
  <si>
    <t>From Ryan</t>
  </si>
  <si>
    <t xml:space="preserve">Melbourne </t>
  </si>
  <si>
    <t>Xfrmr loss</t>
  </si>
  <si>
    <t>Xfmr loss</t>
  </si>
  <si>
    <t>Total for Pumps</t>
  </si>
  <si>
    <t>Fixed Energy</t>
  </si>
  <si>
    <t>Xfrmr losses</t>
  </si>
  <si>
    <t xml:space="preserve">Total  </t>
  </si>
  <si>
    <t>kwh/m^3 product</t>
  </si>
  <si>
    <t>MOTOR DATA</t>
  </si>
  <si>
    <t>kW</t>
  </si>
  <si>
    <t>EFF</t>
  </si>
  <si>
    <t>OUTPUT</t>
  </si>
  <si>
    <t>HP</t>
  </si>
  <si>
    <t>RO Process(incl CF pump)</t>
  </si>
  <si>
    <t>Runs continuously per A change</t>
  </si>
  <si>
    <t>2 x 12 hrs each per A chang</t>
  </si>
  <si>
    <t>per A Chang, all 3 for 8 hrs/day</t>
  </si>
  <si>
    <t>per A Chang</t>
  </si>
  <si>
    <t>Not Exc</t>
  </si>
  <si>
    <t>6 + 2</t>
  </si>
  <si>
    <t>7 + 2</t>
  </si>
  <si>
    <t>9.6 SWC5LD ESPA2MAX</t>
  </si>
  <si>
    <t>24k</t>
  </si>
  <si>
    <t>33.6k</t>
  </si>
  <si>
    <t>28k</t>
  </si>
  <si>
    <t>32.2k</t>
  </si>
  <si>
    <t>kwh/100 gal</t>
  </si>
  <si>
    <t>Projected/Warranted Water Quality</t>
  </si>
  <si>
    <t>War mg/L</t>
  </si>
  <si>
    <t>Proj mg/L</t>
  </si>
  <si>
    <t>3,837 gpm @ 80'</t>
  </si>
  <si>
    <t>7,673 gpm @ 80'</t>
  </si>
  <si>
    <t>7540gpm @ 52'</t>
  </si>
  <si>
    <t>1,670 gpm @ 325'</t>
  </si>
  <si>
    <t>3,335 gpm @ 325'</t>
  </si>
  <si>
    <t>42PMP702</t>
  </si>
  <si>
    <t>42PMP951</t>
  </si>
  <si>
    <t>42PMP952</t>
  </si>
  <si>
    <t>42PMP961</t>
  </si>
  <si>
    <t>42PMP962</t>
  </si>
  <si>
    <t>42-SF-13/Supply Fan</t>
  </si>
  <si>
    <t>Assume not running during acc test</t>
  </si>
  <si>
    <t>Wont be running during acc test.  Fans will be acceptable</t>
  </si>
  <si>
    <t>7 + 1</t>
  </si>
  <si>
    <t>"2/1"</t>
  </si>
  <si>
    <t>1st Pass High Pressure Pump Curve</t>
  </si>
  <si>
    <t>2nd  Pass High Pressure Pump Curve</t>
  </si>
  <si>
    <t>ERD Recirc Pump Curve</t>
  </si>
  <si>
    <t>O yr safety factors</t>
  </si>
  <si>
    <t>3- 5 year safety factors</t>
  </si>
  <si>
    <t xml:space="preserve">Note that data in rows that are struck through  represent meeting the Maximum Average Permeate Concentrations at temperatures greater than 20C </t>
  </si>
</sst>
</file>

<file path=xl/styles.xml><?xml version="1.0" encoding="utf-8"?>
<styleSheet xmlns="http://schemas.openxmlformats.org/spreadsheetml/2006/main">
  <numFmts count="2">
    <numFmt numFmtId="164" formatCode="_-* #,##0.00\ _F_-;\-* #,##0.00\ _F_-;_-* &quot;-&quot;??\ _F_-;_-@_-"/>
    <numFmt numFmtId="165" formatCode="0.0"/>
  </numFmts>
  <fonts count="30">
    <font>
      <sz val="11"/>
      <color theme="1"/>
      <name val="Calibri"/>
      <family val="2"/>
      <scheme val="minor"/>
    </font>
    <font>
      <sz val="10"/>
      <name val="Arial"/>
      <family val="2"/>
    </font>
    <font>
      <sz val="9"/>
      <name val="Arial"/>
      <family val="2"/>
    </font>
    <font>
      <b/>
      <sz val="9"/>
      <name val="Arial"/>
      <family val="2"/>
    </font>
    <font>
      <b/>
      <sz val="9"/>
      <color indexed="10"/>
      <name val="Arial"/>
      <family val="2"/>
    </font>
    <font>
      <sz val="9"/>
      <color indexed="81"/>
      <name val="Tahoma"/>
      <family val="2"/>
    </font>
    <font>
      <b/>
      <sz val="9"/>
      <color indexed="81"/>
      <name val="Tahoma"/>
      <family val="2"/>
    </font>
    <font>
      <strike/>
      <sz val="11"/>
      <color theme="1"/>
      <name val="Calibri"/>
      <family val="2"/>
      <scheme val="minor"/>
    </font>
    <font>
      <b/>
      <sz val="11"/>
      <color theme="1"/>
      <name val="Calibri"/>
      <family val="2"/>
      <scheme val="minor"/>
    </font>
    <font>
      <b/>
      <sz val="11"/>
      <color rgb="FFFF0000"/>
      <name val="Calibri"/>
      <family val="2"/>
      <scheme val="minor"/>
    </font>
    <font>
      <b/>
      <strike/>
      <sz val="9"/>
      <name val="Arial"/>
      <family val="2"/>
    </font>
    <font>
      <sz val="11"/>
      <color theme="1"/>
      <name val="Calibri"/>
      <family val="2"/>
      <scheme val="minor"/>
    </font>
    <font>
      <sz val="11"/>
      <color rgb="FFFF0000"/>
      <name val="Calibri"/>
      <family val="2"/>
      <scheme val="minor"/>
    </font>
    <font>
      <sz val="11"/>
      <name val="Calibri"/>
      <family val="2"/>
      <scheme val="minor"/>
    </font>
    <font>
      <b/>
      <sz val="12"/>
      <name val="Arial"/>
      <family val="2"/>
    </font>
    <font>
      <b/>
      <sz val="10"/>
      <color indexed="8"/>
      <name val="Arial"/>
      <family val="2"/>
    </font>
    <font>
      <u/>
      <sz val="11"/>
      <color theme="1"/>
      <name val="Calibri"/>
      <family val="2"/>
      <scheme val="minor"/>
    </font>
    <font>
      <strike/>
      <sz val="11"/>
      <name val="Calibri"/>
      <family val="2"/>
      <scheme val="minor"/>
    </font>
    <font>
      <b/>
      <u/>
      <sz val="11"/>
      <color theme="1"/>
      <name val="Calibri"/>
      <family val="2"/>
      <scheme val="minor"/>
    </font>
    <font>
      <sz val="11"/>
      <name val="Arial"/>
      <family val="2"/>
    </font>
    <font>
      <sz val="11"/>
      <color rgb="FFFF0000"/>
      <name val="Arial"/>
      <family val="2"/>
    </font>
    <font>
      <b/>
      <sz val="11"/>
      <name val="Arial"/>
      <family val="2"/>
    </font>
    <font>
      <sz val="11"/>
      <color theme="1"/>
      <name val="Arial"/>
      <family val="2"/>
    </font>
    <font>
      <b/>
      <sz val="10"/>
      <color indexed="81"/>
      <name val="Tahoma"/>
      <family val="2"/>
    </font>
    <font>
      <sz val="10"/>
      <color indexed="81"/>
      <name val="Tahoma"/>
      <family val="2"/>
    </font>
    <font>
      <strike/>
      <sz val="11"/>
      <name val="Arial"/>
      <family val="2"/>
    </font>
    <font>
      <strike/>
      <sz val="11"/>
      <color rgb="FFFF0000"/>
      <name val="Arial"/>
      <family val="2"/>
    </font>
    <font>
      <i/>
      <strike/>
      <sz val="11"/>
      <name val="Arial"/>
      <family val="2"/>
    </font>
    <font>
      <i/>
      <sz val="11"/>
      <name val="Arial"/>
      <family val="2"/>
    </font>
    <font>
      <sz val="11"/>
      <color rgb="FFC00000"/>
      <name val="Arial"/>
      <family val="2"/>
    </font>
  </fonts>
  <fills count="7">
    <fill>
      <patternFill patternType="none"/>
    </fill>
    <fill>
      <patternFill patternType="gray125"/>
    </fill>
    <fill>
      <patternFill patternType="solid">
        <fgColor indexed="40"/>
        <bgColor indexed="64"/>
      </patternFill>
    </fill>
    <fill>
      <patternFill patternType="solid">
        <fgColor rgb="FFFFFF00"/>
        <bgColor indexed="64"/>
      </patternFill>
    </fill>
    <fill>
      <patternFill patternType="solid">
        <fgColor rgb="FF00CC66"/>
        <bgColor indexed="64"/>
      </patternFill>
    </fill>
    <fill>
      <patternFill patternType="solid">
        <fgColor theme="2" tint="-0.499984740745262"/>
        <bgColor indexed="64"/>
      </patternFill>
    </fill>
    <fill>
      <patternFill patternType="solid">
        <fgColor rgb="FF00999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170">
    <xf numFmtId="0" fontId="0" fillId="0" borderId="0" xfId="0"/>
    <xf numFmtId="0" fontId="1" fillId="0" borderId="0" xfId="1"/>
    <xf numFmtId="0" fontId="2" fillId="0" borderId="0" xfId="1" applyNumberFormat="1" applyFont="1" applyBorder="1" applyAlignment="1">
      <alignment horizontal="center"/>
    </xf>
    <xf numFmtId="0" fontId="2" fillId="0" borderId="0" xfId="1" applyNumberFormat="1" applyFont="1" applyFill="1" applyBorder="1" applyAlignment="1">
      <alignment horizontal="center"/>
    </xf>
    <xf numFmtId="0" fontId="3" fillId="0" borderId="0" xfId="1" applyNumberFormat="1" applyFont="1" applyFill="1" applyBorder="1" applyAlignment="1">
      <alignment horizontal="center"/>
    </xf>
    <xf numFmtId="0" fontId="3" fillId="0" borderId="2" xfId="1" applyNumberFormat="1" applyFont="1" applyFill="1" applyBorder="1" applyAlignment="1">
      <alignment horizontal="center"/>
    </xf>
    <xf numFmtId="0" fontId="3" fillId="0" borderId="3" xfId="1" applyNumberFormat="1" applyFont="1" applyFill="1" applyBorder="1" applyAlignment="1"/>
    <xf numFmtId="0" fontId="3" fillId="0" borderId="5" xfId="1" applyNumberFormat="1" applyFont="1" applyFill="1" applyBorder="1" applyAlignment="1">
      <alignment horizontal="center"/>
    </xf>
    <xf numFmtId="0" fontId="3" fillId="0" borderId="11" xfId="1" applyNumberFormat="1" applyFont="1" applyFill="1" applyBorder="1" applyAlignment="1">
      <alignment horizontal="center"/>
    </xf>
    <xf numFmtId="0" fontId="3" fillId="2" borderId="11" xfId="1" applyNumberFormat="1" applyFont="1" applyFill="1" applyBorder="1" applyAlignment="1">
      <alignment horizontal="center"/>
    </xf>
    <xf numFmtId="0" fontId="3" fillId="0" borderId="0" xfId="1" applyNumberFormat="1" applyFont="1" applyFill="1" applyAlignment="1">
      <alignment horizontal="center"/>
    </xf>
    <xf numFmtId="0" fontId="3" fillId="0" borderId="8" xfId="1" applyNumberFormat="1" applyFont="1" applyFill="1" applyBorder="1" applyAlignment="1">
      <alignment horizontal="center"/>
    </xf>
    <xf numFmtId="0" fontId="3" fillId="0" borderId="10" xfId="1" applyNumberFormat="1" applyFont="1" applyFill="1" applyBorder="1" applyAlignment="1">
      <alignment horizontal="center"/>
    </xf>
    <xf numFmtId="0" fontId="3" fillId="0" borderId="9" xfId="1" applyNumberFormat="1" applyFont="1" applyFill="1" applyBorder="1" applyAlignment="1">
      <alignment horizontal="center"/>
    </xf>
    <xf numFmtId="0" fontId="3" fillId="0" borderId="2" xfId="1" quotePrefix="1" applyNumberFormat="1" applyFont="1" applyFill="1" applyBorder="1" applyAlignment="1">
      <alignment horizontal="center"/>
    </xf>
    <xf numFmtId="0" fontId="3" fillId="0" borderId="0" xfId="1" applyNumberFormat="1" applyFont="1" applyBorder="1" applyAlignment="1">
      <alignment horizontal="center"/>
    </xf>
    <xf numFmtId="0" fontId="3" fillId="0" borderId="6" xfId="1" applyNumberFormat="1" applyFont="1" applyFill="1" applyBorder="1" applyAlignment="1">
      <alignment horizontal="center"/>
    </xf>
    <xf numFmtId="0" fontId="0" fillId="0" borderId="0" xfId="0" applyFont="1"/>
    <xf numFmtId="0" fontId="0" fillId="0" borderId="0" xfId="0" applyAlignment="1">
      <alignment horizontal="center"/>
    </xf>
    <xf numFmtId="165" fontId="0" fillId="0" borderId="0" xfId="0" applyNumberFormat="1" applyAlignment="1">
      <alignment horizontal="center"/>
    </xf>
    <xf numFmtId="0" fontId="3" fillId="0" borderId="3" xfId="1" applyNumberFormat="1" applyFont="1" applyFill="1" applyBorder="1" applyAlignment="1">
      <alignment horizontal="center"/>
    </xf>
    <xf numFmtId="0" fontId="3" fillId="0" borderId="7" xfId="1" applyNumberFormat="1" applyFont="1" applyFill="1" applyBorder="1" applyAlignment="1">
      <alignment horizontal="center"/>
    </xf>
    <xf numFmtId="0" fontId="0" fillId="0" borderId="0" xfId="0" applyFill="1" applyBorder="1"/>
    <xf numFmtId="0" fontId="1" fillId="0" borderId="0" xfId="1" applyFill="1" applyBorder="1"/>
    <xf numFmtId="0" fontId="1" fillId="0" borderId="0" xfId="1" applyFill="1" applyBorder="1" applyAlignment="1">
      <alignment horizontal="center"/>
    </xf>
    <xf numFmtId="0" fontId="0" fillId="0" borderId="0" xfId="0" applyAlignment="1">
      <alignment horizontal="right"/>
    </xf>
    <xf numFmtId="0" fontId="3" fillId="0" borderId="0" xfId="1" applyNumberFormat="1" applyFont="1" applyFill="1" applyBorder="1" applyAlignment="1">
      <alignment horizontal="left"/>
    </xf>
    <xf numFmtId="0" fontId="0" fillId="4" borderId="0" xfId="0" applyFill="1" applyBorder="1"/>
    <xf numFmtId="0" fontId="0" fillId="4" borderId="0" xfId="0" applyFill="1" applyAlignment="1">
      <alignment horizontal="center"/>
    </xf>
    <xf numFmtId="0" fontId="0" fillId="4" borderId="0" xfId="0" applyFill="1"/>
    <xf numFmtId="0" fontId="0" fillId="4" borderId="0" xfId="0" applyFill="1" applyBorder="1" applyAlignment="1">
      <alignment horizontal="center"/>
    </xf>
    <xf numFmtId="0" fontId="0" fillId="0" borderId="0" xfId="0" applyFont="1" applyFill="1" applyBorder="1"/>
    <xf numFmtId="0" fontId="10" fillId="4" borderId="0" xfId="1" applyNumberFormat="1" applyFont="1" applyFill="1" applyBorder="1" applyAlignment="1">
      <alignment horizontal="center"/>
    </xf>
    <xf numFmtId="0" fontId="3" fillId="0" borderId="12" xfId="1" applyNumberFormat="1" applyFont="1" applyFill="1" applyBorder="1" applyAlignment="1">
      <alignment horizontal="center"/>
    </xf>
    <xf numFmtId="0" fontId="0" fillId="0" borderId="0" xfId="0"/>
    <xf numFmtId="49" fontId="0" fillId="0" borderId="0" xfId="0" applyNumberFormat="1" applyAlignment="1"/>
    <xf numFmtId="49" fontId="0" fillId="0" borderId="0" xfId="0" applyNumberFormat="1"/>
    <xf numFmtId="0" fontId="0" fillId="0" borderId="0" xfId="0" applyNumberFormat="1"/>
    <xf numFmtId="3" fontId="0" fillId="0" borderId="0" xfId="0" applyNumberFormat="1"/>
    <xf numFmtId="22" fontId="0" fillId="0" borderId="0" xfId="0" applyNumberFormat="1"/>
    <xf numFmtId="1" fontId="0" fillId="0" borderId="0" xfId="0" applyNumberFormat="1"/>
    <xf numFmtId="0" fontId="0" fillId="0" borderId="0" xfId="0" applyBorder="1"/>
    <xf numFmtId="0" fontId="0" fillId="5" borderId="0" xfId="0" applyFill="1"/>
    <xf numFmtId="2" fontId="0" fillId="0" borderId="0" xfId="0" applyNumberFormat="1"/>
    <xf numFmtId="165" fontId="0" fillId="0" borderId="0" xfId="0" applyNumberFormat="1"/>
    <xf numFmtId="0" fontId="13" fillId="0" borderId="0" xfId="0" applyFont="1"/>
    <xf numFmtId="0" fontId="0" fillId="3" borderId="0" xfId="0" applyFill="1"/>
    <xf numFmtId="0" fontId="2" fillId="0" borderId="0" xfId="1" applyNumberFormat="1" applyFont="1" applyFill="1" applyBorder="1" applyAlignment="1">
      <alignment horizontal="left"/>
    </xf>
    <xf numFmtId="1" fontId="0" fillId="4" borderId="0" xfId="0" applyNumberFormat="1" applyFill="1" applyBorder="1" applyAlignment="1">
      <alignment horizontal="center"/>
    </xf>
    <xf numFmtId="0" fontId="2" fillId="6" borderId="0" xfId="1" applyNumberFormat="1" applyFont="1" applyFill="1" applyBorder="1" applyAlignment="1">
      <alignment horizontal="center"/>
    </xf>
    <xf numFmtId="0" fontId="3" fillId="6" borderId="0" xfId="1" applyNumberFormat="1" applyFont="1" applyFill="1" applyBorder="1" applyAlignment="1">
      <alignment horizontal="center"/>
    </xf>
    <xf numFmtId="0" fontId="1" fillId="6" borderId="0" xfId="1" applyFill="1" applyBorder="1" applyAlignment="1">
      <alignment horizontal="center"/>
    </xf>
    <xf numFmtId="0" fontId="0" fillId="0" borderId="0" xfId="0" applyAlignment="1">
      <alignment horizontal="center"/>
    </xf>
    <xf numFmtId="0" fontId="1" fillId="6" borderId="0" xfId="1" applyFill="1" applyBorder="1"/>
    <xf numFmtId="0" fontId="14" fillId="0" borderId="0" xfId="0" applyFont="1" applyAlignment="1">
      <alignment horizontal="left"/>
    </xf>
    <xf numFmtId="0" fontId="15" fillId="0" borderId="2" xfId="0" applyFont="1" applyFill="1" applyBorder="1" applyAlignment="1">
      <alignment horizontal="center"/>
    </xf>
    <xf numFmtId="9" fontId="15" fillId="0" borderId="2" xfId="0" applyNumberFormat="1" applyFont="1" applyFill="1" applyBorder="1" applyAlignment="1">
      <alignment horizontal="center"/>
    </xf>
    <xf numFmtId="0" fontId="1" fillId="0" borderId="1" xfId="0" applyFont="1" applyBorder="1" applyAlignment="1">
      <alignment horizontal="center"/>
    </xf>
    <xf numFmtId="2" fontId="1" fillId="0" borderId="1" xfId="0" applyNumberFormat="1" applyFont="1" applyBorder="1" applyAlignment="1">
      <alignment horizontal="center"/>
    </xf>
    <xf numFmtId="165" fontId="0" fillId="0" borderId="1" xfId="0" applyNumberFormat="1" applyBorder="1"/>
    <xf numFmtId="165" fontId="0" fillId="0" borderId="13" xfId="0" applyNumberFormat="1" applyBorder="1"/>
    <xf numFmtId="0" fontId="12" fillId="0" borderId="0" xfId="0" applyFont="1"/>
    <xf numFmtId="0" fontId="0" fillId="0" borderId="1" xfId="0" applyBorder="1" applyAlignment="1">
      <alignment horizontal="center"/>
    </xf>
    <xf numFmtId="1" fontId="0" fillId="0" borderId="0" xfId="0" applyNumberFormat="1" applyAlignment="1">
      <alignment horizontal="left"/>
    </xf>
    <xf numFmtId="0" fontId="18" fillId="0" borderId="0" xfId="0" applyFont="1"/>
    <xf numFmtId="0" fontId="0" fillId="0" borderId="0" xfId="0" applyAlignment="1">
      <alignment horizontal="center"/>
    </xf>
    <xf numFmtId="0" fontId="3" fillId="0" borderId="3" xfId="1" applyNumberFormat="1" applyFont="1" applyFill="1" applyBorder="1" applyAlignment="1">
      <alignment horizontal="center"/>
    </xf>
    <xf numFmtId="0" fontId="3" fillId="0" borderId="7" xfId="1" applyNumberFormat="1" applyFont="1" applyFill="1" applyBorder="1" applyAlignment="1">
      <alignment horizontal="center"/>
    </xf>
    <xf numFmtId="0" fontId="3" fillId="3" borderId="0" xfId="1" applyNumberFormat="1" applyFont="1" applyFill="1" applyBorder="1" applyAlignment="1">
      <alignment horizontal="center"/>
    </xf>
    <xf numFmtId="0" fontId="3" fillId="0" borderId="14" xfId="1" applyNumberFormat="1" applyFont="1" applyBorder="1" applyAlignment="1">
      <alignment horizontal="center"/>
    </xf>
    <xf numFmtId="0" fontId="0" fillId="0" borderId="14" xfId="0" applyBorder="1" applyAlignment="1">
      <alignment horizontal="center"/>
    </xf>
    <xf numFmtId="0" fontId="1" fillId="0" borderId="0" xfId="1" applyAlignment="1">
      <alignment horizontal="center"/>
    </xf>
    <xf numFmtId="0" fontId="1" fillId="4" borderId="0" xfId="1" applyFill="1" applyAlignment="1">
      <alignment horizontal="center"/>
    </xf>
    <xf numFmtId="0" fontId="7" fillId="4" borderId="0" xfId="0" applyFont="1" applyFill="1" applyBorder="1" applyAlignment="1">
      <alignment horizontal="center"/>
    </xf>
    <xf numFmtId="0" fontId="0" fillId="6" borderId="0" xfId="0" applyFont="1" applyFill="1" applyBorder="1" applyAlignment="1">
      <alignment horizontal="center"/>
    </xf>
    <xf numFmtId="0" fontId="0" fillId="0" borderId="0" xfId="0" applyFont="1" applyFill="1" applyBorder="1" applyAlignment="1">
      <alignment horizontal="center"/>
    </xf>
    <xf numFmtId="0" fontId="19" fillId="6" borderId="0" xfId="1" applyNumberFormat="1" applyFont="1" applyFill="1" applyBorder="1" applyAlignment="1">
      <alignment horizontal="center"/>
    </xf>
    <xf numFmtId="0" fontId="19" fillId="6" borderId="0" xfId="1" applyFont="1" applyFill="1" applyBorder="1" applyAlignment="1">
      <alignment horizontal="center"/>
    </xf>
    <xf numFmtId="0" fontId="19" fillId="6" borderId="0" xfId="1" applyFont="1" applyFill="1" applyBorder="1"/>
    <xf numFmtId="0" fontId="11" fillId="6" borderId="0" xfId="0" applyFont="1" applyFill="1" applyBorder="1" applyAlignment="1">
      <alignment horizontal="center"/>
    </xf>
    <xf numFmtId="0" fontId="19" fillId="3" borderId="0" xfId="1" applyNumberFormat="1" applyFont="1" applyFill="1" applyBorder="1" applyAlignment="1">
      <alignment horizontal="center"/>
    </xf>
    <xf numFmtId="0" fontId="19" fillId="3" borderId="0" xfId="1" applyFont="1" applyFill="1" applyBorder="1" applyAlignment="1">
      <alignment horizontal="center"/>
    </xf>
    <xf numFmtId="0" fontId="20" fillId="3" borderId="0" xfId="1" applyNumberFormat="1" applyFont="1" applyFill="1" applyBorder="1" applyAlignment="1">
      <alignment horizontal="center"/>
    </xf>
    <xf numFmtId="165" fontId="19" fillId="6" borderId="0" xfId="1" applyNumberFormat="1" applyFont="1" applyFill="1" applyBorder="1" applyAlignment="1">
      <alignment horizontal="center"/>
    </xf>
    <xf numFmtId="0" fontId="20" fillId="6" borderId="0" xfId="1" applyFont="1" applyFill="1" applyBorder="1" applyAlignment="1">
      <alignment horizontal="center"/>
    </xf>
    <xf numFmtId="165" fontId="20" fillId="6" borderId="0" xfId="1" applyNumberFormat="1" applyFont="1" applyFill="1" applyBorder="1" applyAlignment="1">
      <alignment horizontal="center"/>
    </xf>
    <xf numFmtId="165" fontId="19" fillId="3" borderId="0" xfId="1" applyNumberFormat="1" applyFont="1" applyFill="1" applyBorder="1" applyAlignment="1">
      <alignment horizontal="center"/>
    </xf>
    <xf numFmtId="165" fontId="20" fillId="3" borderId="0" xfId="1" applyNumberFormat="1" applyFont="1" applyFill="1" applyBorder="1" applyAlignment="1">
      <alignment horizontal="center"/>
    </xf>
    <xf numFmtId="2" fontId="19" fillId="6" borderId="0" xfId="1" applyNumberFormat="1" applyFont="1" applyFill="1" applyBorder="1" applyAlignment="1">
      <alignment horizontal="center"/>
    </xf>
    <xf numFmtId="2" fontId="20" fillId="6" borderId="0" xfId="1" applyNumberFormat="1" applyFont="1" applyFill="1" applyBorder="1" applyAlignment="1">
      <alignment horizontal="center"/>
    </xf>
    <xf numFmtId="2" fontId="19" fillId="3" borderId="0" xfId="1" applyNumberFormat="1" applyFont="1" applyFill="1" applyBorder="1" applyAlignment="1">
      <alignment horizontal="center"/>
    </xf>
    <xf numFmtId="2" fontId="22" fillId="6" borderId="0" xfId="1" applyNumberFormat="1" applyFont="1" applyFill="1" applyBorder="1" applyAlignment="1">
      <alignment horizontal="center"/>
    </xf>
    <xf numFmtId="0" fontId="16" fillId="0" borderId="0" xfId="0" applyFont="1" applyAlignment="1">
      <alignment horizontal="center"/>
    </xf>
    <xf numFmtId="2" fontId="9" fillId="0" borderId="0" xfId="0" applyNumberFormat="1" applyFont="1"/>
    <xf numFmtId="0" fontId="0" fillId="0" borderId="1" xfId="0" applyBorder="1"/>
    <xf numFmtId="0" fontId="19" fillId="3" borderId="0" xfId="1" applyFont="1" applyFill="1" applyBorder="1"/>
    <xf numFmtId="0" fontId="11" fillId="3" borderId="0" xfId="0" applyFont="1" applyFill="1" applyBorder="1" applyAlignment="1">
      <alignment horizontal="center"/>
    </xf>
    <xf numFmtId="0" fontId="0" fillId="3" borderId="0" xfId="0" applyNumberFormat="1" applyFill="1"/>
    <xf numFmtId="49" fontId="0" fillId="3" borderId="0" xfId="0" applyNumberFormat="1" applyFill="1" applyAlignment="1"/>
    <xf numFmtId="49" fontId="0" fillId="3" borderId="0" xfId="0" applyNumberFormat="1" applyFill="1"/>
    <xf numFmtId="3" fontId="0" fillId="3" borderId="0" xfId="0" applyNumberFormat="1" applyFill="1"/>
    <xf numFmtId="22" fontId="0" fillId="3" borderId="0" xfId="0" applyNumberFormat="1" applyFill="1"/>
    <xf numFmtId="1" fontId="0" fillId="3" borderId="0" xfId="0" applyNumberFormat="1" applyFill="1"/>
    <xf numFmtId="0" fontId="0" fillId="0" borderId="0" xfId="0" applyNumberFormat="1" applyFill="1"/>
    <xf numFmtId="0" fontId="0" fillId="0" borderId="0" xfId="0" applyFill="1" applyBorder="1"/>
    <xf numFmtId="0" fontId="1" fillId="0" borderId="0" xfId="1" applyFill="1" applyBorder="1"/>
    <xf numFmtId="0" fontId="0" fillId="0" borderId="0" xfId="0" applyFont="1" applyFill="1" applyBorder="1"/>
    <xf numFmtId="2" fontId="0" fillId="0" borderId="0" xfId="0" applyNumberFormat="1"/>
    <xf numFmtId="0" fontId="28" fillId="6" borderId="0" xfId="1" applyFont="1" applyFill="1" applyBorder="1" applyAlignment="1">
      <alignment horizontal="center"/>
    </xf>
    <xf numFmtId="0" fontId="25" fillId="4" borderId="0" xfId="1" applyNumberFormat="1" applyFont="1" applyFill="1" applyBorder="1" applyAlignment="1">
      <alignment horizontal="center"/>
    </xf>
    <xf numFmtId="0" fontId="25" fillId="4" borderId="0" xfId="1" applyFont="1" applyFill="1" applyBorder="1" applyAlignment="1">
      <alignment horizontal="center"/>
    </xf>
    <xf numFmtId="165" fontId="25" fillId="4" borderId="0" xfId="1" applyNumberFormat="1" applyFont="1" applyFill="1" applyBorder="1" applyAlignment="1">
      <alignment horizontal="center"/>
    </xf>
    <xf numFmtId="2" fontId="19" fillId="4" borderId="0" xfId="1" applyNumberFormat="1" applyFont="1" applyFill="1" applyBorder="1" applyAlignment="1">
      <alignment horizontal="center"/>
    </xf>
    <xf numFmtId="2" fontId="25" fillId="4" borderId="0" xfId="1" applyNumberFormat="1" applyFont="1" applyFill="1" applyBorder="1" applyAlignment="1">
      <alignment horizontal="center"/>
    </xf>
    <xf numFmtId="2" fontId="26" fillId="4" borderId="0" xfId="1" applyNumberFormat="1" applyFont="1" applyFill="1" applyBorder="1" applyAlignment="1">
      <alignment horizontal="center"/>
    </xf>
    <xf numFmtId="0" fontId="25" fillId="4" borderId="0" xfId="1" applyFont="1" applyFill="1" applyBorder="1"/>
    <xf numFmtId="0" fontId="27" fillId="4" borderId="0" xfId="1" applyFont="1" applyFill="1" applyBorder="1" applyAlignment="1">
      <alignment horizontal="center"/>
    </xf>
    <xf numFmtId="165" fontId="22" fillId="6" borderId="0" xfId="1" applyNumberFormat="1" applyFont="1" applyFill="1" applyBorder="1" applyAlignment="1">
      <alignment horizontal="center"/>
    </xf>
    <xf numFmtId="0" fontId="22" fillId="6" borderId="0" xfId="1" applyFont="1" applyFill="1" applyBorder="1" applyAlignment="1">
      <alignment horizontal="center"/>
    </xf>
    <xf numFmtId="0" fontId="3" fillId="0" borderId="3" xfId="1" applyNumberFormat="1" applyFont="1" applyFill="1" applyBorder="1" applyAlignment="1">
      <alignment horizontal="center"/>
    </xf>
    <xf numFmtId="0" fontId="13" fillId="6" borderId="0" xfId="0" applyFont="1" applyFill="1" applyBorder="1" applyAlignment="1">
      <alignment horizontal="center"/>
    </xf>
    <xf numFmtId="165" fontId="29" fillId="6" borderId="0" xfId="1" applyNumberFormat="1" applyFont="1" applyFill="1" applyBorder="1" applyAlignment="1">
      <alignment horizontal="center"/>
    </xf>
    <xf numFmtId="0" fontId="8" fillId="0" borderId="0" xfId="0" applyFont="1" applyAlignment="1">
      <alignment horizontal="center"/>
    </xf>
    <xf numFmtId="0" fontId="19" fillId="0" borderId="0" xfId="1" applyNumberFormat="1" applyFont="1" applyFill="1" applyBorder="1" applyAlignment="1">
      <alignment horizontal="center"/>
    </xf>
    <xf numFmtId="0" fontId="19" fillId="0" borderId="0" xfId="1" applyFont="1" applyFill="1" applyBorder="1" applyAlignment="1">
      <alignment horizontal="center"/>
    </xf>
    <xf numFmtId="165" fontId="19" fillId="0" borderId="0" xfId="1" applyNumberFormat="1" applyFont="1" applyFill="1" applyBorder="1" applyAlignment="1">
      <alignment horizontal="center"/>
    </xf>
    <xf numFmtId="2" fontId="19" fillId="0" borderId="0" xfId="1" applyNumberFormat="1" applyFont="1" applyFill="1" applyBorder="1" applyAlignment="1">
      <alignment horizontal="center"/>
    </xf>
    <xf numFmtId="2" fontId="20" fillId="0" borderId="0" xfId="1" applyNumberFormat="1" applyFont="1" applyFill="1" applyBorder="1" applyAlignment="1">
      <alignment horizontal="center"/>
    </xf>
    <xf numFmtId="0" fontId="19" fillId="0" borderId="0" xfId="1" applyFont="1" applyFill="1" applyBorder="1"/>
    <xf numFmtId="0" fontId="11" fillId="0" borderId="0" xfId="0" applyFont="1" applyFill="1" applyBorder="1" applyAlignment="1">
      <alignment horizontal="center"/>
    </xf>
    <xf numFmtId="2" fontId="22" fillId="0" borderId="0" xfId="1" applyNumberFormat="1" applyFont="1" applyFill="1" applyBorder="1" applyAlignment="1">
      <alignment horizontal="center"/>
    </xf>
    <xf numFmtId="165" fontId="20" fillId="0" borderId="0" xfId="1" applyNumberFormat="1" applyFont="1" applyFill="1" applyBorder="1" applyAlignment="1">
      <alignment horizontal="center"/>
    </xf>
    <xf numFmtId="165" fontId="29" fillId="0" borderId="0" xfId="1" applyNumberFormat="1" applyFont="1" applyFill="1" applyBorder="1" applyAlignment="1">
      <alignment horizontal="center"/>
    </xf>
    <xf numFmtId="0" fontId="10" fillId="0" borderId="0" xfId="1" applyNumberFormat="1" applyFont="1" applyFill="1" applyBorder="1" applyAlignment="1">
      <alignment horizontal="center"/>
    </xf>
    <xf numFmtId="0" fontId="25" fillId="0" borderId="0" xfId="1" applyNumberFormat="1" applyFont="1" applyFill="1" applyBorder="1" applyAlignment="1">
      <alignment horizontal="center"/>
    </xf>
    <xf numFmtId="0" fontId="25" fillId="0" borderId="0" xfId="1" applyFont="1" applyFill="1" applyBorder="1" applyAlignment="1">
      <alignment horizontal="center"/>
    </xf>
    <xf numFmtId="165" fontId="25" fillId="0" borderId="0" xfId="1" applyNumberFormat="1" applyFont="1" applyFill="1" applyBorder="1" applyAlignment="1">
      <alignment horizontal="center"/>
    </xf>
    <xf numFmtId="2" fontId="25" fillId="0" borderId="0" xfId="1" applyNumberFormat="1" applyFont="1" applyFill="1" applyBorder="1" applyAlignment="1">
      <alignment horizontal="center"/>
    </xf>
    <xf numFmtId="2" fontId="26" fillId="0" borderId="0" xfId="1" applyNumberFormat="1" applyFont="1" applyFill="1" applyBorder="1" applyAlignment="1">
      <alignment horizontal="center"/>
    </xf>
    <xf numFmtId="0" fontId="25" fillId="0" borderId="0" xfId="1" applyFont="1" applyFill="1" applyBorder="1"/>
    <xf numFmtId="0" fontId="7" fillId="0" borderId="0" xfId="0" applyFont="1" applyFill="1" applyBorder="1" applyAlignment="1">
      <alignment horizontal="center"/>
    </xf>
    <xf numFmtId="0" fontId="13" fillId="0" borderId="0" xfId="0" applyFont="1" applyFill="1" applyBorder="1" applyAlignment="1">
      <alignment horizontal="center"/>
    </xf>
    <xf numFmtId="0" fontId="20" fillId="0" borderId="0" xfId="1" applyNumberFormat="1" applyFont="1" applyFill="1" applyBorder="1" applyAlignment="1">
      <alignment horizontal="center"/>
    </xf>
    <xf numFmtId="0" fontId="21" fillId="0" borderId="0" xfId="1" applyNumberFormat="1" applyFont="1" applyFill="1" applyBorder="1" applyAlignment="1">
      <alignment horizontal="left"/>
    </xf>
    <xf numFmtId="0" fontId="26" fillId="0" borderId="0" xfId="1" applyNumberFormat="1" applyFont="1" applyFill="1" applyBorder="1" applyAlignment="1">
      <alignment horizontal="center"/>
    </xf>
    <xf numFmtId="0" fontId="27" fillId="0" borderId="0" xfId="1" applyFont="1" applyFill="1" applyBorder="1" applyAlignment="1">
      <alignment horizontal="center"/>
    </xf>
    <xf numFmtId="0" fontId="28" fillId="0" borderId="0" xfId="1" applyFont="1" applyFill="1" applyBorder="1" applyAlignment="1">
      <alignment horizontal="center"/>
    </xf>
    <xf numFmtId="0" fontId="20" fillId="0" borderId="0" xfId="1" applyFont="1" applyFill="1" applyBorder="1" applyAlignment="1">
      <alignment horizontal="center"/>
    </xf>
    <xf numFmtId="165" fontId="22" fillId="0" borderId="0" xfId="1" applyNumberFormat="1" applyFont="1" applyFill="1" applyBorder="1" applyAlignment="1">
      <alignment horizontal="center"/>
    </xf>
    <xf numFmtId="0" fontId="22" fillId="0" borderId="0" xfId="1" applyFont="1" applyFill="1" applyBorder="1" applyAlignment="1">
      <alignment horizontal="center"/>
    </xf>
    <xf numFmtId="16" fontId="20" fillId="0" borderId="0" xfId="1" applyNumberFormat="1" applyFont="1" applyFill="1" applyBorder="1" applyAlignment="1">
      <alignment horizontal="center"/>
    </xf>
    <xf numFmtId="0" fontId="17" fillId="0" borderId="0" xfId="0" applyFont="1" applyFill="1" applyBorder="1"/>
    <xf numFmtId="0" fontId="13" fillId="0" borderId="0" xfId="0" applyFont="1" applyFill="1" applyBorder="1"/>
    <xf numFmtId="16" fontId="19" fillId="6" borderId="0" xfId="1" applyNumberFormat="1" applyFont="1" applyFill="1" applyBorder="1" applyAlignment="1">
      <alignment horizontal="center"/>
    </xf>
    <xf numFmtId="0" fontId="1" fillId="4" borderId="0" xfId="1" applyFont="1" applyFill="1" applyAlignment="1">
      <alignment horizontal="center"/>
    </xf>
    <xf numFmtId="0" fontId="8" fillId="6" borderId="0" xfId="0" applyFont="1" applyFill="1" applyBorder="1"/>
    <xf numFmtId="0" fontId="0" fillId="0" borderId="1" xfId="0" applyBorder="1" applyAlignment="1">
      <alignment horizontal="center"/>
    </xf>
    <xf numFmtId="0" fontId="0" fillId="0" borderId="1" xfId="0" applyBorder="1" applyAlignment="1"/>
    <xf numFmtId="0" fontId="3" fillId="0" borderId="3" xfId="1" applyNumberFormat="1" applyFont="1" applyFill="1" applyBorder="1" applyAlignment="1">
      <alignment horizontal="center"/>
    </xf>
    <xf numFmtId="0" fontId="3" fillId="0" borderId="4" xfId="1" applyNumberFormat="1" applyFont="1" applyFill="1" applyBorder="1" applyAlignment="1">
      <alignment horizontal="center"/>
    </xf>
    <xf numFmtId="0" fontId="3" fillId="0" borderId="7" xfId="1" applyNumberFormat="1" applyFont="1" applyFill="1" applyBorder="1" applyAlignment="1">
      <alignment horizontal="center"/>
    </xf>
    <xf numFmtId="0" fontId="2" fillId="0" borderId="1" xfId="1" applyNumberFormat="1" applyFont="1"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3" fillId="0" borderId="3" xfId="1" applyNumberFormat="1" applyFont="1" applyBorder="1" applyAlignment="1">
      <alignment horizontal="center"/>
    </xf>
    <xf numFmtId="0" fontId="3" fillId="0" borderId="7" xfId="1" applyNumberFormat="1" applyFont="1" applyBorder="1" applyAlignment="1">
      <alignment horizontal="center"/>
    </xf>
    <xf numFmtId="0" fontId="3" fillId="0" borderId="4" xfId="1" applyNumberFormat="1" applyFont="1" applyBorder="1" applyAlignment="1">
      <alignment horizontal="center"/>
    </xf>
    <xf numFmtId="0" fontId="8" fillId="0" borderId="7" xfId="0" applyFont="1" applyBorder="1" applyAlignment="1"/>
    <xf numFmtId="0" fontId="8" fillId="0" borderId="4" xfId="0" applyFont="1" applyBorder="1" applyAlignment="1"/>
    <xf numFmtId="0" fontId="0" fillId="0" borderId="0" xfId="0" applyAlignment="1">
      <alignment horizontal="center"/>
    </xf>
  </cellXfs>
  <cellStyles count="4">
    <cellStyle name="Comma 2" xfId="2"/>
    <cellStyle name="Normal" xfId="0" builtinId="0"/>
    <cellStyle name="Normal 2" xfId="1"/>
    <cellStyle name="Percent 2" xfId="3"/>
  </cellStyles>
  <dxfs count="32">
    <dxf>
      <numFmt numFmtId="30" formatCode="@"/>
      <alignment horizontal="general" vertical="bottom" textRotation="0" wrapText="0" indent="0" relativeIndent="0" justifyLastLine="0" shrinkToFit="0" mergeCell="0" readingOrder="0"/>
    </dxf>
    <dxf>
      <numFmt numFmtId="30" formatCode="@"/>
      <alignment horizontal="general" vertical="bottom" textRotation="0" wrapText="0" indent="0" relativeIndent="0" justifyLastLine="0" shrinkToFit="0" mergeCell="0" readingOrder="0"/>
    </dxf>
    <dxf>
      <numFmt numFmtId="30" formatCode="@"/>
    </dxf>
    <dxf>
      <numFmt numFmtId="1" formatCode="0"/>
    </dxf>
    <dxf>
      <numFmt numFmtId="27" formatCode="m/d/yyyy\ h:mm"/>
    </dxf>
    <dxf>
      <numFmt numFmtId="30" formatCode="@"/>
    </dxf>
    <dxf>
      <numFmt numFmtId="3" formatCode="#,##0"/>
    </dxf>
    <dxf>
      <numFmt numFmtId="30" formatCode="@"/>
      <alignment horizontal="general" vertical="bottom" textRotation="0" wrapText="0" indent="0" relativeIndent="0" justifyLastLine="0" shrinkToFit="0" mergeCell="0" readingOrder="0"/>
    </dxf>
    <dxf>
      <numFmt numFmtId="30" formatCode="@"/>
      <alignment horizontal="general" vertical="bottom" textRotation="0" wrapText="0" indent="0" relativeIndent="0" justifyLastLine="0" shrinkToFit="0" mergeCell="0" readingOrder="0"/>
    </dxf>
    <dxf>
      <numFmt numFmtId="30" formatCode="@"/>
      <alignment horizontal="general" vertical="bottom" textRotation="0" wrapText="0" indent="0" relativeIndent="0" justifyLastLine="0" shrinkToFit="0" mergeCell="0" readingOrder="0"/>
    </dxf>
    <dxf>
      <numFmt numFmtId="30" formatCode="@"/>
      <alignment horizontal="general" vertical="bottom" textRotation="0" wrapText="0" indent="0" relativeIndent="0" justifyLastLine="0" shrinkToFit="0" mergeCell="0" readingOrder="0"/>
    </dxf>
    <dxf>
      <numFmt numFmtId="0" formatCode="General"/>
    </dxf>
    <dxf>
      <numFmt numFmtId="30" formatCode="@"/>
      <alignment horizontal="general" vertical="bottom" textRotation="0" wrapText="0" indent="0" relativeIndent="0" justifyLastLine="0" shrinkToFit="0" mergeCell="0" readingOrder="0"/>
    </dxf>
    <dxf>
      <numFmt numFmtId="0" formatCode="General"/>
    </dxf>
    <dxf>
      <numFmt numFmtId="0" formatCode="General"/>
    </dxf>
    <dxf>
      <numFmt numFmtId="0" formatCode="General"/>
    </dxf>
    <dxf>
      <numFmt numFmtId="0" formatCode="General"/>
    </dxf>
    <dxf>
      <numFmt numFmtId="30" formatCode="@"/>
    </dxf>
    <dxf>
      <numFmt numFmtId="30" formatCode="@"/>
      <alignment horizontal="general" vertical="bottom" textRotation="0" wrapText="0" indent="0" relativeIndent="0" justifyLastLine="0" shrinkToFit="0" mergeCell="0" readingOrder="0"/>
    </dxf>
    <dxf>
      <numFmt numFmtId="30" formatCode="@"/>
      <alignment horizontal="general" vertical="bottom" textRotation="0" wrapText="0" indent="0" relativeIndent="0" justifyLastLine="0" shrinkToFit="0" mergeCell="0" readingOrder="0"/>
    </dxf>
    <dxf>
      <numFmt numFmtId="0" formatCode="General"/>
    </dxf>
    <dxf>
      <numFmt numFmtId="30" formatCode="@"/>
    </dxf>
    <dxf>
      <numFmt numFmtId="0" formatCode="General"/>
    </dxf>
    <dxf>
      <numFmt numFmtId="0" formatCode="General"/>
    </dxf>
    <dxf>
      <numFmt numFmtId="30" formatCode="@"/>
      <alignment horizontal="general" vertical="bottom" textRotation="0" wrapText="0" indent="0" relativeIndent="0" justifyLastLine="0" shrinkToFit="0" mergeCell="0" readingOrder="0"/>
    </dxf>
    <dxf>
      <numFmt numFmtId="0" formatCode="General"/>
    </dxf>
    <dxf>
      <numFmt numFmtId="0" formatCode="General"/>
    </dxf>
    <dxf>
      <numFmt numFmtId="0" formatCode="General"/>
    </dxf>
    <dxf>
      <numFmt numFmtId="30" formatCode="@"/>
      <alignment horizontal="general" vertical="bottom" textRotation="0" wrapText="0" indent="0" relativeIndent="0" justifyLastLine="0" shrinkToFit="0" mergeCell="0" readingOrder="0"/>
    </dxf>
    <dxf>
      <numFmt numFmtId="30" formatCode="@"/>
    </dxf>
    <dxf>
      <numFmt numFmtId="30" formatCode="@"/>
      <alignment horizontal="general" vertical="bottom" textRotation="0" wrapText="0" indent="0" relativeIndent="0" justifyLastLine="0" shrinkToFit="0" mergeCell="0" readingOrder="0"/>
    </dxf>
    <dxf>
      <numFmt numFmtId="30" formatCode="@"/>
      <alignment horizontal="general" vertical="bottom" textRotation="0" wrapText="0" indent="0" relativeIndent="0" justifyLastLine="0" shrinkToFit="0" mergeCell="0" readingOrder="0"/>
    </dxf>
  </dxfs>
  <tableStyles count="0" defaultTableStyle="TableStyleMedium9" defaultPivotStyle="PivotStyleLight16"/>
  <colors>
    <mruColors>
      <color rgb="FF009999"/>
      <color rgb="FF00CC66"/>
      <color rgb="FFFF9900"/>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61</xdr:col>
      <xdr:colOff>165100</xdr:colOff>
      <xdr:row>2</xdr:row>
      <xdr:rowOff>101601</xdr:rowOff>
    </xdr:from>
    <xdr:to>
      <xdr:col>71</xdr:col>
      <xdr:colOff>277524</xdr:colOff>
      <xdr:row>44</xdr:row>
      <xdr:rowOff>104035</xdr:rowOff>
    </xdr:to>
    <xdr:pic>
      <xdr:nvPicPr>
        <xdr:cNvPr id="2" name="Picture 1" descr="Pages from Monterey RO Tech Data ref TUS13052W_rev1 8 Aug 13.jpg"/>
        <xdr:cNvPicPr>
          <a:picLocks noChangeAspect="1"/>
        </xdr:cNvPicPr>
      </xdr:nvPicPr>
      <xdr:blipFill>
        <a:blip xmlns:r="http://schemas.openxmlformats.org/officeDocument/2006/relationships" r:embed="rId1" cstate="print"/>
        <a:stretch>
          <a:fillRect/>
        </a:stretch>
      </xdr:blipFill>
      <xdr:spPr>
        <a:xfrm>
          <a:off x="20434300" y="482601"/>
          <a:ext cx="6208424" cy="8003434"/>
        </a:xfrm>
        <a:prstGeom prst="rect">
          <a:avLst/>
        </a:prstGeom>
      </xdr:spPr>
    </xdr:pic>
    <xdr:clientData/>
  </xdr:twoCellAnchor>
  <xdr:twoCellAnchor editAs="oneCell">
    <xdr:from>
      <xdr:col>61</xdr:col>
      <xdr:colOff>139700</xdr:colOff>
      <xdr:row>50</xdr:row>
      <xdr:rowOff>63500</xdr:rowOff>
    </xdr:from>
    <xdr:to>
      <xdr:col>71</xdr:col>
      <xdr:colOff>101600</xdr:colOff>
      <xdr:row>89</xdr:row>
      <xdr:rowOff>42543</xdr:rowOff>
    </xdr:to>
    <xdr:pic>
      <xdr:nvPicPr>
        <xdr:cNvPr id="3" name="Picture 2" descr="Pages from 2nd Pass RO HPP Afton RS-13-1102-DW.jpg"/>
        <xdr:cNvPicPr>
          <a:picLocks noChangeAspect="1"/>
        </xdr:cNvPicPr>
      </xdr:nvPicPr>
      <xdr:blipFill>
        <a:blip xmlns:r="http://schemas.openxmlformats.org/officeDocument/2006/relationships" r:embed="rId2" cstate="print"/>
        <a:stretch>
          <a:fillRect/>
        </a:stretch>
      </xdr:blipFill>
      <xdr:spPr>
        <a:xfrm>
          <a:off x="20408900" y="9588500"/>
          <a:ext cx="6057900" cy="7408543"/>
        </a:xfrm>
        <a:prstGeom prst="rect">
          <a:avLst/>
        </a:prstGeom>
      </xdr:spPr>
    </xdr:pic>
    <xdr:clientData/>
  </xdr:twoCellAnchor>
  <xdr:twoCellAnchor editAs="oneCell">
    <xdr:from>
      <xdr:col>0</xdr:col>
      <xdr:colOff>495300</xdr:colOff>
      <xdr:row>61</xdr:row>
      <xdr:rowOff>12700</xdr:rowOff>
    </xdr:from>
    <xdr:to>
      <xdr:col>4</xdr:col>
      <xdr:colOff>761673</xdr:colOff>
      <xdr:row>81</xdr:row>
      <xdr:rowOff>88900</xdr:rowOff>
    </xdr:to>
    <xdr:pic>
      <xdr:nvPicPr>
        <xdr:cNvPr id="5133" name="Picture 13"/>
        <xdr:cNvPicPr>
          <a:picLocks noChangeAspect="1" noChangeArrowheads="1"/>
        </xdr:cNvPicPr>
      </xdr:nvPicPr>
      <xdr:blipFill>
        <a:blip xmlns:r="http://schemas.openxmlformats.org/officeDocument/2006/relationships" r:embed="rId3" cstate="print"/>
        <a:srcRect/>
        <a:stretch>
          <a:fillRect/>
        </a:stretch>
      </xdr:blipFill>
      <xdr:spPr bwMode="auto">
        <a:xfrm>
          <a:off x="495300" y="11633200"/>
          <a:ext cx="5663873" cy="3886200"/>
        </a:xfrm>
        <a:prstGeom prst="rect">
          <a:avLst/>
        </a:prstGeom>
        <a:noFill/>
      </xdr:spPr>
    </xdr:pic>
    <xdr:clientData/>
  </xdr:twoCellAnchor>
  <xdr:twoCellAnchor>
    <xdr:from>
      <xdr:col>0</xdr:col>
      <xdr:colOff>368300</xdr:colOff>
      <xdr:row>81</xdr:row>
      <xdr:rowOff>152400</xdr:rowOff>
    </xdr:from>
    <xdr:to>
      <xdr:col>4</xdr:col>
      <xdr:colOff>495300</xdr:colOff>
      <xdr:row>90</xdr:row>
      <xdr:rowOff>0</xdr:rowOff>
    </xdr:to>
    <xdr:sp macro="" textlink="">
      <xdr:nvSpPr>
        <xdr:cNvPr id="5" name="TextBox 4"/>
        <xdr:cNvSpPr txBox="1"/>
      </xdr:nvSpPr>
      <xdr:spPr>
        <a:xfrm>
          <a:off x="368300" y="15582900"/>
          <a:ext cx="5524500" cy="156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a:t>Note that:</a:t>
          </a:r>
        </a:p>
        <a:p>
          <a:r>
            <a:rPr lang="en-US" sz="1400"/>
            <a:t>1.</a:t>
          </a:r>
          <a:r>
            <a:rPr lang="en-US" sz="1400" baseline="0"/>
            <a:t>  Design is fully capable of meeting Maximum Average Water Quality for temperatures between 8 and 20 (see values struck out)</a:t>
          </a:r>
        </a:p>
        <a:p>
          <a:r>
            <a:rPr lang="en-US" sz="1400" baseline="0"/>
            <a:t>2.  Hydranautics has waived the 2nd pass RO requirements for minimum brine flow as long as the beta (concentration polarization) is less than 1.4 (All are).  It may be beneficial to run only 1 second pass RO train at some conditions-but energy between running 1 or 2 trains is roughly  the same</a:t>
          </a:r>
          <a:endParaRPr lang="en-US" sz="1400"/>
        </a:p>
      </xdr:txBody>
    </xdr:sp>
    <xdr:clientData/>
  </xdr:twoCellAnchor>
</xdr:wsDr>
</file>

<file path=xl/queryTables/queryTable1.xml><?xml version="1.0" encoding="utf-8"?>
<queryTable xmlns="http://schemas.openxmlformats.org/spreadsheetml/2006/main" name="owssvr[1]" backgroundRefresh="0" connectionId="1" autoFormatId="16" applyNumberFormats="0" applyBorderFormats="0" applyFontFormats="0" applyPatternFormats="0" applyAlignmentFormats="0" applyWidthHeightFormats="0">
  <queryTableRefresh nextId="33">
    <queryTableFields count="32">
      <queryTableField id="27" name="P&amp;ID tag" tableColumnId="1"/>
      <queryTableField id="1" name="Title" tableColumnId="2"/>
      <queryTableField id="4" name="Facility Name" tableColumnId="3"/>
      <queryTableField id="2" name="General Description" tableColumnId="4"/>
      <queryTableField id="5" name="Duty" tableColumnId="5"/>
      <queryTableField id="6" name="Standby" tableColumnId="6"/>
      <queryTableField id="28" name="Future" tableColumnId="7"/>
      <queryTableField id="7" name="Unit Capacity" tableColumnId="8"/>
      <queryTableField id="11" name="Motor Rated Horsepower" tableColumnId="9"/>
      <queryTableField id="21" name="Voltage" tableColumnId="10"/>
      <queryTableField id="17" name="Speed Control" tableColumnId="11"/>
      <queryTableField id="10" name="Brake Horsepower" tableColumnId="12"/>
      <queryTableField id="20" name="Unit Size" tableColumnId="13"/>
      <queryTableField id="8" name="Total Duty Capacity" tableColumnId="14"/>
      <queryTableField id="3" name="Equipment Type" tableColumnId="15"/>
      <queryTableField id="15" name="Packaged Equipment" tableColumnId="16"/>
      <queryTableField id="12" name="Total Connected Load (kW)" tableColumnId="17"/>
      <queryTableField id="13" name="Total Expected Load (kW)" tableColumnId="18"/>
      <queryTableField id="14" name="Standby Power Required" tableColumnId="19"/>
      <queryTableField id="16" name="Control System" tableColumnId="20"/>
      <queryTableField id="9" name="Additional FutureBuildout QTY" tableColumnId="21"/>
      <queryTableField id="18" name="Materials of Construction" tableColumnId="22"/>
      <queryTableField id="19" name="Other Features" tableColumnId="23"/>
      <queryTableField id="22" name="A - Manufacturer" tableColumnId="24"/>
      <queryTableField id="23" name="B - Manufacturers" tableColumnId="25"/>
      <queryTableField id="25" name="Equipment Package Number" tableColumnId="26"/>
      <queryTableField id="24" name="Contact Person" tableColumnId="27"/>
      <queryTableField id="30" name="Modified" tableColumnId="28"/>
      <queryTableField id="29" name="ID" tableColumnId="29"/>
      <queryTableField id="26" name="EventAccessLevel" tableColumnId="30"/>
      <queryTableField id="32" name="Item Type" tableColumnId="31"/>
      <queryTableField id="31" name="Path" tableColumnId="3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e_owssvr_1" displayName="Table_owssvr_1" ref="A4:AF287" tableType="queryTable" totalsRowShown="0">
  <autoFilter ref="A4:AF287"/>
  <tableColumns count="32">
    <tableColumn id="1" uniqueName="P_x005f_x0026_ID_x005f_x0020_tag" name="P&amp;ID tag" queryTableFieldId="27" dataDxfId="31"/>
    <tableColumn id="2" uniqueName="Title" name="Title" queryTableFieldId="1" dataDxfId="30"/>
    <tableColumn id="3" uniqueName="Facility_x005f_x0020_Location" name="Facility Name" queryTableFieldId="4" dataDxfId="29"/>
    <tableColumn id="4" uniqueName="General_x005f_x0020_Description" name="General Description" queryTableFieldId="2" dataDxfId="28"/>
    <tableColumn id="5" uniqueName="Quantity_Duty" name="Duty" queryTableFieldId="5" dataDxfId="27"/>
    <tableColumn id="6" uniqueName="Quantity_Standby" name="Standby" queryTableFieldId="6" dataDxfId="26"/>
    <tableColumn id="7" uniqueName="Future" name="Future" queryTableFieldId="28" dataDxfId="25"/>
    <tableColumn id="8" uniqueName="Unit_x005f_x0020_Capacity" name="Unit Capacity" queryTableFieldId="7" dataDxfId="24"/>
    <tableColumn id="9" uniqueName="Horsepower" name="Motor Rated Horsepower" queryTableFieldId="11" dataDxfId="23"/>
    <tableColumn id="10" uniqueName="Voltage" name="Voltage" queryTableFieldId="21" dataDxfId="22"/>
    <tableColumn id="11" uniqueName="Speed_x005f_x0020_Control" name="Speed Control" queryTableFieldId="17" dataDxfId="21"/>
    <tableColumn id="12" uniqueName="Brake_x005f_x0020_Horsepower" name="Brake Horsepower" queryTableFieldId="10" dataDxfId="20"/>
    <tableColumn id="13" uniqueName="Unit_x005f_x0020_Size" name="Unit Size" queryTableFieldId="20" dataDxfId="19"/>
    <tableColumn id="14" uniqueName="Total_x005f_x0020_Duty_x005f_x0020_Capacity" name="Total Duty Capacity" queryTableFieldId="8" dataDxfId="18"/>
    <tableColumn id="15" uniqueName="Equipment_x005f_x0020_Type" name="Equipment Type" queryTableFieldId="3" dataDxfId="17"/>
    <tableColumn id="16" uniqueName="Packaged_x005f_x0020_Equipment" name="Packaged Equipment" queryTableFieldId="15" dataDxfId="16"/>
    <tableColumn id="17" uniqueName="Total_x005f_x0020_Connected_x005f_x0020_Load" name="Total Connected Load (kW)" queryTableFieldId="12" dataDxfId="15"/>
    <tableColumn id="18" uniqueName="Total_x005f_x0020_Expected_x005f_x0020_Load_" name="Total Expected Load (kW)" queryTableFieldId="13" dataDxfId="14"/>
    <tableColumn id="19" uniqueName="Standby_x005f_x0020_Power_x005f_x0020_Requir" name="Standby Power Required" queryTableFieldId="14" dataDxfId="13"/>
    <tableColumn id="20" uniqueName="Control_x005f_x0020_System" name="Control System" queryTableFieldId="16" dataDxfId="12"/>
    <tableColumn id="21" uniqueName="FutureBuildout_x005f_x0020_QTY" name="Additional FutureBuildout QTY" queryTableFieldId="9" dataDxfId="11"/>
    <tableColumn id="22" uniqueName="Materials_x005f_x0020_of_x005f_x0020_Constru" name="Materials of Construction" queryTableFieldId="18" dataDxfId="10"/>
    <tableColumn id="23" uniqueName="Other_x005f_x0020_Features" name="Other Features" queryTableFieldId="19" dataDxfId="9"/>
    <tableColumn id="24" uniqueName="A_x005f_x0020__x005f_x002d__x005f_x0020_Manufactur" name="A - Manufacturer" queryTableFieldId="22" dataDxfId="8"/>
    <tableColumn id="25" uniqueName="B_x005f_x0020__x005f_x002d__x005f_x0020_Manufactur" name="B - Manufacturers" queryTableFieldId="23" dataDxfId="7"/>
    <tableColumn id="26" uniqueName="Equipment_x005f_x0020_Package_x005f_x0020_Nu" name="Equipment Package Number" queryTableFieldId="25" dataDxfId="6"/>
    <tableColumn id="27" uniqueName="Contact_x005f_x0020_Person" name="Contact Person" queryTableFieldId="24" dataDxfId="5"/>
    <tableColumn id="28" uniqueName="Modified" name="Modified" queryTableFieldId="30" dataDxfId="4"/>
    <tableColumn id="29" uniqueName="ID" name="ID" queryTableFieldId="29" dataDxfId="3"/>
    <tableColumn id="30" uniqueName="EventAcc" name="EventAccessLevel" queryTableFieldId="26" dataDxfId="2"/>
    <tableColumn id="31" uniqueName="FSObjType" name="Item Type" queryTableFieldId="32" dataDxfId="1"/>
    <tableColumn id="32" uniqueName="FileDirRef" name="Path" queryTableFieldId="31"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1.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sheetPr>
    <pageSetUpPr fitToPage="1"/>
  </sheetPr>
  <dimension ref="A1:BO154"/>
  <sheetViews>
    <sheetView view="pageBreakPreview" topLeftCell="A43" zoomScale="75" zoomScaleNormal="100" zoomScaleSheetLayoutView="75" workbookViewId="0">
      <selection activeCell="I29" sqref="I29"/>
    </sheetView>
  </sheetViews>
  <sheetFormatPr defaultRowHeight="15"/>
  <cols>
    <col min="1" max="1" width="31.28515625" customWidth="1"/>
    <col min="2" max="2" width="20.42578125" customWidth="1"/>
    <col min="3" max="3" width="19.85546875" customWidth="1"/>
    <col min="4" max="4" width="9.42578125" bestFit="1" customWidth="1"/>
    <col min="5" max="5" width="14.42578125" customWidth="1"/>
    <col min="6" max="6" width="38.7109375" customWidth="1"/>
    <col min="7" max="7" width="6.28515625" bestFit="1" customWidth="1"/>
    <col min="8" max="8" width="6.140625" bestFit="1" customWidth="1"/>
    <col min="9" max="9" width="9" bestFit="1" customWidth="1"/>
    <col min="10" max="10" width="6.5703125" bestFit="1" customWidth="1"/>
    <col min="11" max="11" width="5" customWidth="1"/>
    <col min="12" max="12" width="12" hidden="1" customWidth="1"/>
    <col min="13" max="13" width="7.140625" hidden="1" customWidth="1"/>
    <col min="14" max="14" width="7.7109375" hidden="1" customWidth="1"/>
    <col min="15" max="15" width="5.28515625" bestFit="1" customWidth="1"/>
    <col min="16" max="16" width="6.5703125" customWidth="1"/>
    <col min="17" max="17" width="7" hidden="1" customWidth="1"/>
    <col min="18" max="18" width="2.42578125" hidden="1" customWidth="1"/>
    <col min="19" max="19" width="9.7109375" hidden="1" customWidth="1"/>
    <col min="20" max="20" width="9.85546875" hidden="1" customWidth="1"/>
    <col min="21" max="21" width="9.7109375" hidden="1" customWidth="1"/>
    <col min="22" max="22" width="9.85546875" hidden="1" customWidth="1"/>
    <col min="23" max="23" width="9.7109375" hidden="1" customWidth="1"/>
    <col min="24" max="24" width="9.85546875" hidden="1" customWidth="1"/>
    <col min="25" max="25" width="9.7109375" hidden="1" customWidth="1"/>
    <col min="26" max="26" width="9.85546875" hidden="1" customWidth="1"/>
    <col min="27" max="27" width="1.5703125" hidden="1" customWidth="1"/>
    <col min="28" max="29" width="6.5703125" bestFit="1" customWidth="1"/>
    <col min="30" max="30" width="10.28515625" hidden="1" customWidth="1"/>
    <col min="31" max="31" width="17.5703125" bestFit="1" customWidth="1"/>
    <col min="32" max="32" width="12.140625" bestFit="1" customWidth="1"/>
    <col min="33" max="33" width="8.28515625" customWidth="1"/>
    <col min="34" max="34" width="12.28515625" hidden="1" customWidth="1"/>
    <col min="35" max="35" width="10.42578125" bestFit="1" customWidth="1"/>
    <col min="36" max="36" width="8.28515625" hidden="1" customWidth="1"/>
    <col min="37" max="37" width="14.5703125" hidden="1" customWidth="1"/>
    <col min="38" max="38" width="13.5703125" hidden="1" customWidth="1"/>
    <col min="39" max="39" width="11.85546875" hidden="1" customWidth="1"/>
    <col min="40" max="40" width="10.28515625" bestFit="1" customWidth="1"/>
    <col min="41" max="41" width="14.7109375" hidden="1" customWidth="1"/>
    <col min="42" max="42" width="3.85546875" hidden="1" customWidth="1"/>
    <col min="43" max="43" width="8.28515625" bestFit="1" customWidth="1"/>
    <col min="44" max="44" width="12.85546875" hidden="1" customWidth="1"/>
    <col min="45" max="45" width="12.7109375" hidden="1" customWidth="1"/>
    <col min="46" max="46" width="8.7109375" hidden="1" customWidth="1"/>
    <col min="47" max="47" width="12.7109375" hidden="1" customWidth="1"/>
    <col min="48" max="48" width="13.5703125" hidden="1" customWidth="1"/>
    <col min="49" max="49" width="16.85546875" hidden="1" customWidth="1"/>
    <col min="50" max="50" width="10.28515625" bestFit="1" customWidth="1"/>
    <col min="51" max="51" width="9.7109375" hidden="1" customWidth="1"/>
    <col min="52" max="52" width="7.5703125" bestFit="1" customWidth="1"/>
    <col min="53" max="53" width="7.42578125" bestFit="1" customWidth="1"/>
    <col min="54" max="54" width="5.85546875" hidden="1" customWidth="1"/>
    <col min="55" max="55" width="5" hidden="1" customWidth="1"/>
    <col min="56" max="56" width="6.42578125" bestFit="1" customWidth="1"/>
    <col min="57" max="57" width="12.7109375" hidden="1" customWidth="1"/>
    <col min="58" max="58" width="6.28515625" bestFit="1" customWidth="1"/>
    <col min="59" max="59" width="13.5703125" hidden="1" customWidth="1"/>
    <col min="60" max="60" width="6.28515625" customWidth="1"/>
    <col min="61" max="61" width="5.28515625" bestFit="1" customWidth="1"/>
  </cols>
  <sheetData>
    <row r="1" spans="1:67">
      <c r="A1" s="34" t="s">
        <v>568</v>
      </c>
      <c r="C1" s="92" t="s">
        <v>46</v>
      </c>
      <c r="F1" s="94"/>
      <c r="G1" s="94"/>
      <c r="H1" s="94"/>
      <c r="I1" s="94"/>
      <c r="J1" s="94"/>
      <c r="K1" s="94"/>
      <c r="L1" s="94"/>
      <c r="M1" s="94"/>
      <c r="N1" s="94"/>
      <c r="O1" s="94"/>
      <c r="P1" s="94"/>
      <c r="Q1" s="94"/>
      <c r="R1" s="94"/>
      <c r="S1" s="94"/>
      <c r="T1" s="94"/>
      <c r="U1" s="94"/>
      <c r="V1" s="94"/>
      <c r="W1" s="94"/>
      <c r="X1" s="94"/>
      <c r="Y1" s="94"/>
      <c r="Z1" s="94"/>
      <c r="AA1" s="94"/>
      <c r="AB1" s="94"/>
      <c r="AC1" s="94"/>
      <c r="AD1" s="94"/>
      <c r="AE1" s="156" t="s">
        <v>580</v>
      </c>
      <c r="AF1" s="156"/>
      <c r="AG1" s="156"/>
      <c r="AH1" s="156"/>
      <c r="AI1" s="156"/>
      <c r="AJ1" s="156"/>
      <c r="AK1" s="156"/>
      <c r="AL1" s="156"/>
      <c r="AM1" s="156"/>
      <c r="AN1" s="156"/>
      <c r="AO1" s="156"/>
      <c r="AP1" s="156"/>
      <c r="AQ1" s="156"/>
      <c r="AR1" s="156"/>
      <c r="AS1" s="156"/>
      <c r="AT1" s="156"/>
      <c r="AU1" s="156"/>
      <c r="AV1" s="156"/>
      <c r="AW1" s="156"/>
      <c r="AX1" s="156"/>
      <c r="AY1" s="94"/>
      <c r="AZ1" s="156" t="s">
        <v>583</v>
      </c>
      <c r="BA1" s="156"/>
      <c r="BB1" s="156"/>
      <c r="BC1" s="156"/>
      <c r="BD1" s="156"/>
      <c r="BE1" s="156"/>
      <c r="BF1" s="156"/>
      <c r="BG1" s="94"/>
      <c r="BH1" s="157" t="s">
        <v>584</v>
      </c>
      <c r="BI1" s="157"/>
    </row>
    <row r="2" spans="1:67">
      <c r="F2" s="94" t="s">
        <v>571</v>
      </c>
      <c r="G2" s="94"/>
      <c r="H2" s="94"/>
      <c r="I2" s="94"/>
      <c r="J2" s="94"/>
      <c r="K2" s="94"/>
      <c r="L2" s="94"/>
      <c r="M2" s="94"/>
      <c r="N2" s="94"/>
      <c r="O2" s="94"/>
      <c r="P2" s="94"/>
      <c r="Q2" s="94"/>
      <c r="R2" s="94"/>
      <c r="S2" s="94"/>
      <c r="T2" s="94"/>
      <c r="U2" s="94"/>
      <c r="V2" s="94"/>
      <c r="W2" s="94"/>
      <c r="X2" s="94"/>
      <c r="Y2" s="94"/>
      <c r="Z2" s="94"/>
      <c r="AA2" s="94"/>
      <c r="AB2" s="94"/>
      <c r="AC2" s="94"/>
      <c r="AD2" s="94"/>
      <c r="AE2" s="156" t="s">
        <v>581</v>
      </c>
      <c r="AF2" s="156"/>
      <c r="AG2" s="156"/>
      <c r="AH2" s="156"/>
      <c r="AI2" s="156"/>
      <c r="AJ2" s="156"/>
      <c r="AK2" s="156"/>
      <c r="AL2" s="156"/>
      <c r="AM2" s="156"/>
      <c r="AN2" s="156"/>
      <c r="AO2" s="94"/>
      <c r="AP2" s="94"/>
      <c r="AQ2" s="156" t="s">
        <v>582</v>
      </c>
      <c r="AR2" s="156"/>
      <c r="AS2" s="156"/>
      <c r="AT2" s="156"/>
      <c r="AU2" s="156"/>
      <c r="AV2" s="156"/>
      <c r="AW2" s="156"/>
      <c r="AX2" s="156"/>
      <c r="AY2" s="94"/>
      <c r="AZ2" s="156" t="s">
        <v>581</v>
      </c>
      <c r="BA2" s="156"/>
      <c r="BB2" s="94"/>
      <c r="BC2" s="94"/>
      <c r="BD2" s="156" t="s">
        <v>582</v>
      </c>
      <c r="BE2" s="156"/>
      <c r="BF2" s="156"/>
      <c r="BG2" s="94"/>
      <c r="BH2" s="157"/>
      <c r="BI2" s="157"/>
      <c r="BO2" s="122" t="s">
        <v>632</v>
      </c>
    </row>
    <row r="3" spans="1:67">
      <c r="F3" s="94" t="str">
        <f>'RO Projections'!B6</f>
        <v>DESIGN - TRAIN</v>
      </c>
      <c r="G3" s="94" t="str">
        <f>'RO Projections'!C6</f>
        <v>years</v>
      </c>
      <c r="H3" s="94" t="str">
        <f>'RO Projections'!D6</f>
        <v>TDS</v>
      </c>
      <c r="I3" s="94" t="str">
        <f>'RO Projections'!E6</f>
        <v>temp</v>
      </c>
      <c r="J3" s="156" t="s">
        <v>579</v>
      </c>
      <c r="K3" s="156"/>
      <c r="L3" s="94" t="str">
        <f>'RO Projections'!H6</f>
        <v>Per Train PV</v>
      </c>
      <c r="M3" s="94">
        <f>'RO Projections'!I6</f>
        <v>0</v>
      </c>
      <c r="N3" s="94">
        <f>'RO Projections'!J6</f>
        <v>0</v>
      </c>
      <c r="O3" s="156" t="s">
        <v>578</v>
      </c>
      <c r="P3" s="156"/>
      <c r="Q3" s="94" t="str">
        <f>'RO Projections'!M6</f>
        <v>TDS</v>
      </c>
      <c r="R3" s="94">
        <f>'RO Projections'!N6</f>
        <v>0</v>
      </c>
      <c r="S3" s="94" t="str">
        <f>'RO Projections'!O6</f>
        <v>Chloride</v>
      </c>
      <c r="T3" s="94">
        <f>'RO Projections'!P6</f>
        <v>0</v>
      </c>
      <c r="U3" s="94" t="str">
        <f>'RO Projections'!Q6</f>
        <v>Bromide</v>
      </c>
      <c r="V3" s="94">
        <f>'RO Projections'!R6</f>
        <v>0</v>
      </c>
      <c r="W3" s="94" t="str">
        <f>'RO Projections'!S6</f>
        <v>Boron</v>
      </c>
      <c r="X3" s="94">
        <f>'RO Projections'!T6</f>
        <v>0</v>
      </c>
      <c r="Y3" s="94" t="str">
        <f>'RO Projections'!U6</f>
        <v>Sodium</v>
      </c>
      <c r="Z3" s="94">
        <f>'RO Projections'!V6</f>
        <v>0</v>
      </c>
      <c r="AA3" s="94" t="str">
        <f>'RO Projections'!W6</f>
        <v>Recovery (%)</v>
      </c>
      <c r="AB3" s="157" t="s">
        <v>54</v>
      </c>
      <c r="AC3" s="157"/>
      <c r="AD3" s="94" t="str">
        <f>'RO Projections'!Z6</f>
        <v xml:space="preserve"># Trains in </v>
      </c>
      <c r="AE3" s="94" t="str">
        <f>'RO Projections'!AA6</f>
        <v xml:space="preserve">TOTAL inlet to RO </v>
      </c>
      <c r="AF3" s="94" t="str">
        <f>'RO Projections'!AB6</f>
        <v xml:space="preserve">inlet </v>
      </c>
      <c r="AG3" s="94" t="str">
        <f>'RO Projections'!AC6</f>
        <v>inlet</v>
      </c>
      <c r="AH3" s="94" t="str">
        <f>'RO Projections'!AD6</f>
        <v>per hp pump</v>
      </c>
      <c r="AI3" s="94" t="str">
        <f>'RO Projections'!AE6</f>
        <v xml:space="preserve">ERD Recic </v>
      </c>
      <c r="AJ3" s="94" t="str">
        <f>'RO Projections'!AF6</f>
        <v xml:space="preserve">per ERD </v>
      </c>
      <c r="AK3" s="94" t="str">
        <f>'RO Projections'!AG6</f>
        <v>brine to pumps</v>
      </c>
      <c r="AL3" s="94" t="str">
        <f>'RO Projections'!AH6</f>
        <v>per ERD pump</v>
      </c>
      <c r="AM3" s="94" t="str">
        <f>'RO Projections'!AI6</f>
        <v>brine to ERD</v>
      </c>
      <c r="AN3" s="94" t="str">
        <f>'RO Projections'!AJ6</f>
        <v xml:space="preserve">total  </v>
      </c>
      <c r="AO3" s="94" t="str">
        <f>'RO Projections'!AK6</f>
        <v>front permeate</v>
      </c>
      <c r="AP3" s="94" t="str">
        <f>'RO Projections'!AL6</f>
        <v>CIP</v>
      </c>
      <c r="AQ3" s="94" t="str">
        <f>'RO Projections'!AM6</f>
        <v xml:space="preserve">inlet </v>
      </c>
      <c r="AR3" s="94" t="str">
        <f>'RO Projections'!AN6</f>
        <v>inlet</v>
      </c>
      <c r="AS3" s="94" t="str">
        <f>'RO Projections'!AO6</f>
        <v>1st permeate</v>
      </c>
      <c r="AT3" s="94" t="str">
        <f>'RO Projections'!AP6</f>
        <v>1st brine</v>
      </c>
      <c r="AU3" s="94" t="str">
        <f>'RO Projections'!AQ6</f>
        <v>2st permeate</v>
      </c>
      <c r="AV3" s="94" t="str">
        <f>'RO Projections'!AR6</f>
        <v>2ns pass Brine</v>
      </c>
      <c r="AW3" s="94" t="str">
        <f>'RO Projections'!AS6</f>
        <v>2st brine per train</v>
      </c>
      <c r="AX3" s="94" t="str">
        <f>'RO Projections'!AT6</f>
        <v>permeate</v>
      </c>
      <c r="AY3" s="94" t="str">
        <f>'RO Projections'!AU6</f>
        <v>permeate</v>
      </c>
      <c r="AZ3" s="94" t="str">
        <f>'RO Projections'!AV6</f>
        <v>inlet</v>
      </c>
      <c r="BA3" s="94" t="str">
        <f>'RO Projections'!AW6</f>
        <v>brine</v>
      </c>
      <c r="BB3" s="94" t="str">
        <f>'RO Projections'!AX6</f>
        <v xml:space="preserve">front </v>
      </c>
      <c r="BC3" s="94" t="str">
        <f>'RO Projections'!AY6</f>
        <v xml:space="preserve">rear </v>
      </c>
      <c r="BD3" s="94" t="str">
        <f>'RO Projections'!AZ6</f>
        <v xml:space="preserve">inlet </v>
      </c>
      <c r="BE3" s="94" t="str">
        <f>'RO Projections'!BA6</f>
        <v>1st permeate</v>
      </c>
      <c r="BF3" s="94" t="str">
        <f>'RO Projections'!BB6</f>
        <v>Brine</v>
      </c>
      <c r="BG3" s="94" t="str">
        <f>'RO Projections'!BC6</f>
        <v>2nd permeate</v>
      </c>
      <c r="BH3" s="94" t="s">
        <v>36</v>
      </c>
      <c r="BI3" s="94" t="s">
        <v>37</v>
      </c>
    </row>
    <row r="4" spans="1:67">
      <c r="B4" s="34" t="s">
        <v>566</v>
      </c>
      <c r="C4">
        <v>0.97</v>
      </c>
      <c r="F4" s="94" t="str">
        <f>'RO Projections'!B7</f>
        <v>ref</v>
      </c>
      <c r="G4" s="94" t="s">
        <v>46</v>
      </c>
      <c r="H4" s="94" t="str">
        <f>'RO Projections'!D7</f>
        <v>mg/l</v>
      </c>
      <c r="I4" s="94" t="str">
        <f>'RO Projections'!E7</f>
        <v>degC</v>
      </c>
      <c r="J4" s="94" t="str">
        <f>'RO Projections'!F7</f>
        <v>1st</v>
      </c>
      <c r="K4" s="94" t="str">
        <f>'RO Projections'!G7</f>
        <v>2nd</v>
      </c>
      <c r="L4" s="94" t="str">
        <f>'RO Projections'!H7</f>
        <v>1st pass</v>
      </c>
      <c r="M4" s="94" t="str">
        <f>'RO Projections'!I7</f>
        <v>1st stg</v>
      </c>
      <c r="N4" s="94" t="str">
        <f>'RO Projections'!J7</f>
        <v>2nd stg</v>
      </c>
      <c r="O4" s="94" t="str">
        <f>'RO Projections'!K7</f>
        <v>1st</v>
      </c>
      <c r="P4" s="94" t="str">
        <f>'RO Projections'!L7</f>
        <v>2nd</v>
      </c>
      <c r="Q4" s="94" t="str">
        <f>'RO Projections'!M7</f>
        <v>mg/l</v>
      </c>
      <c r="R4" s="94" t="str">
        <f>'RO Projections'!N7</f>
        <v xml:space="preserve"> </v>
      </c>
      <c r="S4" s="94" t="str">
        <f>'RO Projections'!O7</f>
        <v>Proj mg/L</v>
      </c>
      <c r="T4" s="94" t="str">
        <f>'RO Projections'!P7</f>
        <v>War mg/L</v>
      </c>
      <c r="U4" s="94" t="str">
        <f>'RO Projections'!Q7</f>
        <v>Proj mg/L</v>
      </c>
      <c r="V4" s="94" t="str">
        <f>'RO Projections'!R7</f>
        <v>War mg/L</v>
      </c>
      <c r="W4" s="94" t="str">
        <f>'RO Projections'!S7</f>
        <v>Proj mg/L</v>
      </c>
      <c r="X4" s="94" t="str">
        <f>'RO Projections'!T7</f>
        <v>War mg/L</v>
      </c>
      <c r="Y4" s="94" t="str">
        <f>'RO Projections'!U7</f>
        <v>Proj mg/L</v>
      </c>
      <c r="Z4" s="94" t="str">
        <f>'RO Projections'!V7</f>
        <v>War mg/L</v>
      </c>
      <c r="AA4" s="94" t="str">
        <f>'RO Projections'!W7</f>
        <v>total</v>
      </c>
      <c r="AB4" s="94" t="str">
        <f>'RO Projections'!X7</f>
        <v>1st</v>
      </c>
      <c r="AC4" s="94" t="str">
        <f>'RO Projections'!Y7</f>
        <v>2nd</v>
      </c>
      <c r="AD4" s="94" t="str">
        <f>'RO Projections'!Z7</f>
        <v>Operation</v>
      </c>
      <c r="AE4" s="94" t="str">
        <f>'RO Projections'!AA7</f>
        <v>- BRINE 2nd pass</v>
      </c>
      <c r="AF4" s="94" t="str">
        <f>'RO Projections'!AB7</f>
        <v>membranes</v>
      </c>
      <c r="AG4" s="94" t="str">
        <f>'RO Projections'!AC7</f>
        <v>to HPP</v>
      </c>
      <c r="AH4" s="94">
        <f>'RO Projections'!AD7</f>
        <v>0</v>
      </c>
      <c r="AI4" s="94" t="str">
        <f>'RO Projections'!AE7</f>
        <v>pump</v>
      </c>
      <c r="AJ4" s="94" t="str">
        <f>'RO Projections'!AF7</f>
        <v>(pump)</v>
      </c>
      <c r="AK4" s="94">
        <f>'RO Projections'!AG7</f>
        <v>0</v>
      </c>
      <c r="AL4" s="94">
        <f>'RO Projections'!AH7</f>
        <v>0</v>
      </c>
      <c r="AM4" s="94" t="str">
        <f>'RO Projections'!AI7</f>
        <v xml:space="preserve"> </v>
      </c>
      <c r="AN4" s="94" t="str">
        <f>'RO Projections'!AJ7</f>
        <v>permeate</v>
      </c>
      <c r="AO4" s="94" t="str">
        <f>'RO Projections'!AK7</f>
        <v xml:space="preserve"> </v>
      </c>
      <c r="AP4" s="94" t="str">
        <f>'RO Projections'!AL7</f>
        <v xml:space="preserve"> </v>
      </c>
      <c r="AQ4" s="94" t="str">
        <f>'RO Projections'!AM7</f>
        <v xml:space="preserve"> </v>
      </c>
      <c r="AR4" s="94" t="str">
        <f>'RO Projections'!AN7</f>
        <v xml:space="preserve">per 2ND pass </v>
      </c>
      <c r="AS4" s="94" t="str">
        <f>'RO Projections'!AO7</f>
        <v xml:space="preserve"> </v>
      </c>
      <c r="AT4" s="94" t="str">
        <f>'RO Projections'!AP7</f>
        <v xml:space="preserve"> </v>
      </c>
      <c r="AU4" s="94" t="str">
        <f>'RO Projections'!AQ7</f>
        <v xml:space="preserve"> </v>
      </c>
      <c r="AV4" s="94">
        <f>'RO Projections'!AR7</f>
        <v>0</v>
      </c>
      <c r="AW4" s="94" t="str">
        <f>'RO Projections'!AS7</f>
        <v xml:space="preserve"> </v>
      </c>
      <c r="AX4" s="94" t="str">
        <f>'RO Projections'!AT7</f>
        <v xml:space="preserve"> </v>
      </c>
      <c r="AY4" s="94" t="str">
        <f>'RO Projections'!AU7</f>
        <v xml:space="preserve"> </v>
      </c>
      <c r="AZ4" s="94" t="str">
        <f>'RO Projections'!AV7</f>
        <v xml:space="preserve"> </v>
      </c>
      <c r="BA4" s="94" t="str">
        <f>'RO Projections'!AW7</f>
        <v xml:space="preserve"> </v>
      </c>
      <c r="BB4" s="94" t="str">
        <f>'RO Projections'!AX7</f>
        <v xml:space="preserve"> </v>
      </c>
      <c r="BC4" s="94" t="str">
        <f>'RO Projections'!AY7</f>
        <v xml:space="preserve"> </v>
      </c>
      <c r="BD4" s="94" t="str">
        <f>'RO Projections'!AZ7</f>
        <v xml:space="preserve"> </v>
      </c>
      <c r="BE4" s="94" t="str">
        <f>'RO Projections'!BA7</f>
        <v xml:space="preserve"> </v>
      </c>
      <c r="BF4" s="94" t="str">
        <f>'RO Projections'!BB7</f>
        <v xml:space="preserve"> </v>
      </c>
      <c r="BG4" s="94" t="str">
        <f>'RO Projections'!BC7</f>
        <v xml:space="preserve"> </v>
      </c>
      <c r="BH4" s="94" t="str">
        <f>'RO Projections'!BD7</f>
        <v xml:space="preserve"> </v>
      </c>
      <c r="BI4" s="94" t="str">
        <f>'RO Projections'!BE7</f>
        <v xml:space="preserve"> </v>
      </c>
    </row>
    <row r="5" spans="1:67">
      <c r="F5" s="68" t="s">
        <v>608</v>
      </c>
      <c r="G5" s="80">
        <v>0</v>
      </c>
      <c r="H5" s="80" t="s">
        <v>610</v>
      </c>
      <c r="I5" s="80">
        <v>12</v>
      </c>
      <c r="J5" s="82">
        <v>7</v>
      </c>
      <c r="K5" s="80">
        <v>2</v>
      </c>
      <c r="L5" s="82">
        <v>497</v>
      </c>
      <c r="M5" s="80">
        <v>54</v>
      </c>
      <c r="N5" s="81">
        <v>24</v>
      </c>
      <c r="O5" s="81">
        <v>8</v>
      </c>
      <c r="P5" s="80">
        <v>10.5</v>
      </c>
      <c r="Q5" s="80">
        <v>71</v>
      </c>
      <c r="R5" s="80"/>
      <c r="S5" s="86">
        <v>40.200000000000003</v>
      </c>
      <c r="T5" s="86">
        <f t="shared" ref="T5" si="0">IF(G5=0,$P$10*S5,$P$11*S5)</f>
        <v>410.04</v>
      </c>
      <c r="U5" s="90">
        <f t="shared" ref="U5" si="1">IF(H5="Max",S5/21000*110*$R$376,S5/19030*71*$R$376)</f>
        <v>0</v>
      </c>
      <c r="V5" s="90">
        <f t="shared" ref="V5" si="2">IF(G5=0,$R$10*U5,$R$11*U5)</f>
        <v>0</v>
      </c>
      <c r="W5" s="90">
        <v>0.37</v>
      </c>
      <c r="X5" s="90">
        <f>IF(G5=0,$T$10*W5,$T$11*W5)</f>
        <v>183.7938</v>
      </c>
      <c r="Y5" s="86">
        <v>26.8</v>
      </c>
      <c r="Z5" s="87">
        <f t="shared" ref="Z5" si="3">IF(G5=0,$V$10*Y5,$V$11*Y5)</f>
        <v>0</v>
      </c>
      <c r="AA5" s="95"/>
      <c r="AB5" s="81">
        <v>45</v>
      </c>
      <c r="AC5" s="81">
        <v>90</v>
      </c>
      <c r="AD5" s="81" t="s">
        <v>607</v>
      </c>
      <c r="AE5" s="81">
        <v>15000</v>
      </c>
      <c r="AF5" s="81">
        <v>15153</v>
      </c>
      <c r="AG5" s="81">
        <v>6839.1</v>
      </c>
      <c r="AH5" s="81"/>
      <c r="AI5" s="81">
        <v>8314</v>
      </c>
      <c r="AJ5" s="81"/>
      <c r="AK5" s="81"/>
      <c r="AL5" s="81"/>
      <c r="AM5" s="81"/>
      <c r="AN5" s="81">
        <v>6666.7</v>
      </c>
      <c r="AO5" s="81"/>
      <c r="AP5" s="81"/>
      <c r="AQ5" s="81">
        <v>1528</v>
      </c>
      <c r="AR5" s="81"/>
      <c r="AS5" s="81"/>
      <c r="AT5" s="81"/>
      <c r="AU5" s="81"/>
      <c r="AV5" s="81"/>
      <c r="AW5" s="81"/>
      <c r="AX5" s="81">
        <v>1375</v>
      </c>
      <c r="AY5" s="81"/>
      <c r="AZ5" s="81">
        <v>721</v>
      </c>
      <c r="BA5" s="81">
        <v>713</v>
      </c>
      <c r="BB5" s="81"/>
      <c r="BC5" s="81"/>
      <c r="BD5" s="81">
        <v>76.599999999999994</v>
      </c>
      <c r="BE5" s="81"/>
      <c r="BF5" s="81">
        <v>56.1</v>
      </c>
      <c r="BG5" s="81"/>
      <c r="BH5" s="96">
        <v>7.1</v>
      </c>
      <c r="BI5" s="81">
        <v>8.1999999999999993</v>
      </c>
    </row>
    <row r="6" spans="1:67">
      <c r="A6" s="34" t="s">
        <v>560</v>
      </c>
      <c r="B6" s="34" t="s">
        <v>561</v>
      </c>
      <c r="C6">
        <f>AE5</f>
        <v>15000</v>
      </c>
      <c r="F6" s="4"/>
      <c r="G6" s="123"/>
      <c r="H6" s="123"/>
      <c r="I6" s="123"/>
      <c r="J6" s="123"/>
      <c r="K6" s="123"/>
      <c r="L6" s="123"/>
      <c r="M6" s="123"/>
      <c r="N6" s="124"/>
      <c r="O6" s="124"/>
      <c r="P6" s="123"/>
      <c r="Q6" s="3"/>
      <c r="R6" s="3"/>
      <c r="S6" s="3"/>
      <c r="T6" s="125"/>
      <c r="U6" s="126"/>
      <c r="V6" s="127"/>
      <c r="W6" s="3"/>
      <c r="X6" s="126"/>
      <c r="Y6" s="3"/>
      <c r="Z6" s="125"/>
      <c r="AA6" s="105"/>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75"/>
      <c r="BI6" s="75"/>
    </row>
    <row r="7" spans="1:67">
      <c r="B7" s="34" t="s">
        <v>562</v>
      </c>
      <c r="C7" s="45">
        <f>IF(G5=0,20-5+3, 20-5+8)</f>
        <v>18</v>
      </c>
      <c r="D7" s="34" t="s">
        <v>46</v>
      </c>
      <c r="F7" s="4" t="s">
        <v>608</v>
      </c>
      <c r="G7" s="123">
        <v>5</v>
      </c>
      <c r="H7" s="123" t="s">
        <v>47</v>
      </c>
      <c r="I7" s="123">
        <v>20</v>
      </c>
      <c r="J7" s="123">
        <v>6</v>
      </c>
      <c r="K7" s="123">
        <v>2</v>
      </c>
      <c r="L7" s="123">
        <v>426</v>
      </c>
      <c r="M7" s="123">
        <v>54</v>
      </c>
      <c r="N7" s="124">
        <v>24</v>
      </c>
      <c r="O7" s="124">
        <v>8.3000000000000007</v>
      </c>
      <c r="P7" s="123">
        <v>10.199999999999999</v>
      </c>
      <c r="Q7" s="3">
        <v>86.3</v>
      </c>
      <c r="R7" s="3"/>
      <c r="S7" s="3">
        <v>48.4</v>
      </c>
      <c r="T7" s="125">
        <f>IF(G7=0,$P$10*S7,$P$11*S7)</f>
        <v>493.67999999999995</v>
      </c>
      <c r="U7" s="126">
        <f>IF(H7="Max",S7/21000*110*$R$376,S7/19030*71*$R$376)</f>
        <v>0</v>
      </c>
      <c r="V7" s="127">
        <f>IF(G7=0,$R$10*U7,$R$11*U7)</f>
        <v>0</v>
      </c>
      <c r="W7" s="3">
        <v>0.43</v>
      </c>
      <c r="X7" s="126">
        <f>IF(G7=0,$T$10*W7,$T$11*W7)</f>
        <v>215.3526</v>
      </c>
      <c r="Y7" s="3">
        <v>32.200000000000003</v>
      </c>
      <c r="Z7" s="125">
        <f>IF(G7=0,$V$10*Y7,$V$11*Y7)</f>
        <v>0</v>
      </c>
      <c r="AA7" s="105"/>
      <c r="AB7" s="24">
        <v>45</v>
      </c>
      <c r="AC7" s="24">
        <v>90</v>
      </c>
      <c r="AD7" s="24" t="s">
        <v>606</v>
      </c>
      <c r="AE7" s="24">
        <v>15043</v>
      </c>
      <c r="AF7" s="24">
        <v>15230</v>
      </c>
      <c r="AG7" s="24">
        <v>6873.9</v>
      </c>
      <c r="AH7" s="24"/>
      <c r="AI7" s="24">
        <v>8356.7999999999993</v>
      </c>
      <c r="AJ7" s="24"/>
      <c r="AK7" s="24"/>
      <c r="AL7" s="24"/>
      <c r="AM7" s="24"/>
      <c r="AN7" s="24">
        <v>6666.7</v>
      </c>
      <c r="AO7" s="24"/>
      <c r="AP7" s="24"/>
      <c r="AQ7" s="24">
        <v>1875</v>
      </c>
      <c r="AR7" s="24"/>
      <c r="AS7" s="24"/>
      <c r="AT7" s="24"/>
      <c r="AU7" s="24"/>
      <c r="AV7" s="24"/>
      <c r="AW7" s="24"/>
      <c r="AX7" s="24">
        <v>1687.5</v>
      </c>
      <c r="AY7" s="24"/>
      <c r="AZ7" s="24">
        <v>849.8</v>
      </c>
      <c r="BA7" s="24">
        <v>839.9</v>
      </c>
      <c r="BB7" s="24"/>
      <c r="BC7" s="24"/>
      <c r="BD7" s="24">
        <v>88.6</v>
      </c>
      <c r="BE7" s="24"/>
      <c r="BF7" s="24">
        <v>63</v>
      </c>
      <c r="BG7" s="24"/>
      <c r="BH7" s="75">
        <v>8.3000000000000007</v>
      </c>
      <c r="BI7" s="75">
        <v>10.1</v>
      </c>
    </row>
    <row r="8" spans="1:67">
      <c r="B8" s="34" t="s">
        <v>563</v>
      </c>
      <c r="C8">
        <v>4</v>
      </c>
      <c r="F8" s="4" t="s">
        <v>608</v>
      </c>
      <c r="G8" s="123">
        <v>5</v>
      </c>
      <c r="H8" s="123" t="s">
        <v>47</v>
      </c>
      <c r="I8" s="123">
        <v>8</v>
      </c>
      <c r="J8" s="123">
        <v>6</v>
      </c>
      <c r="K8" s="123">
        <v>2</v>
      </c>
      <c r="L8" s="123">
        <v>426</v>
      </c>
      <c r="M8" s="123">
        <v>54</v>
      </c>
      <c r="N8" s="124">
        <v>24</v>
      </c>
      <c r="O8" s="124">
        <v>8.3000000000000007</v>
      </c>
      <c r="P8" s="123">
        <v>10.199999999999999</v>
      </c>
      <c r="Q8" s="3">
        <v>85.8</v>
      </c>
      <c r="R8" s="3"/>
      <c r="S8" s="3">
        <v>48</v>
      </c>
      <c r="T8" s="125">
        <f>IF(G8=0,$P$10*S8,$P$11*S8)</f>
        <v>489.59999999999997</v>
      </c>
      <c r="U8" s="126">
        <f>IF(H8="Max",S8/21000*110*$R$376,S8/19030*71*$R$376)</f>
        <v>0</v>
      </c>
      <c r="V8" s="127">
        <f>IF(G8=0,$R$10*U8,$R$11*U8)</f>
        <v>0</v>
      </c>
      <c r="W8" s="3">
        <v>0.35</v>
      </c>
      <c r="X8" s="126">
        <f>IF(G8=0,$T$10*W8,$T$11*W8)</f>
        <v>175.28699999999998</v>
      </c>
      <c r="Y8" s="3">
        <v>32.1</v>
      </c>
      <c r="Z8" s="125">
        <f>IF(G8=0,$V$10*Y8,$V$11*Y8)</f>
        <v>0</v>
      </c>
      <c r="AA8" s="105"/>
      <c r="AB8" s="24">
        <v>45</v>
      </c>
      <c r="AC8" s="24">
        <v>90</v>
      </c>
      <c r="AD8" s="24" t="s">
        <v>606</v>
      </c>
      <c r="AE8" s="24">
        <v>14890</v>
      </c>
      <c r="AF8" s="24">
        <v>14952</v>
      </c>
      <c r="AG8" s="24">
        <v>6748.5</v>
      </c>
      <c r="AH8" s="24"/>
      <c r="AI8" s="24">
        <v>8204.4</v>
      </c>
      <c r="AJ8" s="24"/>
      <c r="AK8" s="24"/>
      <c r="AL8" s="24"/>
      <c r="AM8" s="24"/>
      <c r="AN8" s="24">
        <v>6666.7</v>
      </c>
      <c r="AO8" s="24"/>
      <c r="AP8" s="24"/>
      <c r="AQ8" s="24">
        <v>625</v>
      </c>
      <c r="AR8" s="24"/>
      <c r="AS8" s="24"/>
      <c r="AT8" s="24"/>
      <c r="AU8" s="24"/>
      <c r="AV8" s="24"/>
      <c r="AW8" s="24"/>
      <c r="AX8" s="24">
        <v>563</v>
      </c>
      <c r="AY8" s="24"/>
      <c r="AZ8" s="24">
        <v>968.7</v>
      </c>
      <c r="BA8" s="24">
        <v>958.7</v>
      </c>
      <c r="BB8" s="24"/>
      <c r="BC8" s="24"/>
      <c r="BD8" s="24">
        <v>42</v>
      </c>
      <c r="BE8" s="24"/>
      <c r="BF8" s="24">
        <v>34.1</v>
      </c>
      <c r="BG8" s="24"/>
      <c r="BH8" s="75">
        <v>8.1</v>
      </c>
      <c r="BI8" s="75">
        <v>3.4</v>
      </c>
    </row>
    <row r="9" spans="1:67" s="34" customFormat="1">
      <c r="B9" s="34" t="s">
        <v>575</v>
      </c>
      <c r="C9" s="44">
        <f>C6/C8</f>
        <v>3750</v>
      </c>
      <c r="F9" s="4"/>
      <c r="G9" s="123"/>
      <c r="H9" s="123"/>
      <c r="I9" s="123"/>
      <c r="J9" s="123"/>
      <c r="K9" s="123"/>
      <c r="L9" s="123"/>
      <c r="M9" s="123"/>
      <c r="N9" s="124"/>
      <c r="O9" s="124"/>
      <c r="P9" s="123"/>
      <c r="Q9" s="3"/>
      <c r="R9" s="3"/>
      <c r="S9" s="3"/>
      <c r="T9" s="125"/>
      <c r="U9" s="126" t="s">
        <v>46</v>
      </c>
      <c r="V9" s="127"/>
      <c r="W9" s="3"/>
      <c r="X9" s="126"/>
      <c r="Y9" s="3"/>
      <c r="Z9" s="125"/>
      <c r="AA9" s="105"/>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75"/>
      <c r="BI9" s="75"/>
    </row>
    <row r="10" spans="1:67">
      <c r="B10" s="34" t="s">
        <v>564</v>
      </c>
      <c r="C10">
        <v>0.78</v>
      </c>
      <c r="D10" s="34" t="s">
        <v>46</v>
      </c>
      <c r="F10" s="4" t="s">
        <v>608</v>
      </c>
      <c r="G10" s="123">
        <v>3.5</v>
      </c>
      <c r="H10" s="123" t="s">
        <v>47</v>
      </c>
      <c r="I10" s="123">
        <v>20</v>
      </c>
      <c r="J10" s="123">
        <v>6</v>
      </c>
      <c r="K10" s="123">
        <v>2</v>
      </c>
      <c r="L10" s="123">
        <v>426</v>
      </c>
      <c r="M10" s="123">
        <v>54</v>
      </c>
      <c r="N10" s="124">
        <v>24</v>
      </c>
      <c r="O10" s="124">
        <v>8.3000000000000007</v>
      </c>
      <c r="P10" s="123">
        <v>10.199999999999999</v>
      </c>
      <c r="Q10" s="123">
        <v>87</v>
      </c>
      <c r="R10" s="123"/>
      <c r="S10" s="125">
        <v>48.7</v>
      </c>
      <c r="T10" s="125">
        <f>IF(G10=0,$P$10*S10,$P$11*S10)</f>
        <v>496.74</v>
      </c>
      <c r="U10" s="126">
        <f>IF(H10="Max",S10/21000*110*$R$376,S10/19030*71*$R$376)</f>
        <v>0</v>
      </c>
      <c r="V10" s="127">
        <f>IF(G10=0,$R$10*U10,$R$11*U10)</f>
        <v>0</v>
      </c>
      <c r="W10" s="126">
        <v>0.44</v>
      </c>
      <c r="X10" s="126">
        <f>IF(G10=0,$T$10*W10,$T$11*W10)</f>
        <v>220.36080000000001</v>
      </c>
      <c r="Y10" s="125">
        <v>32.4</v>
      </c>
      <c r="Z10" s="125">
        <f>IF(G10=0,$V$10*Y10,$V$11*Y10)</f>
        <v>0</v>
      </c>
      <c r="AA10" s="128"/>
      <c r="AB10" s="124">
        <v>45</v>
      </c>
      <c r="AC10" s="124">
        <v>90</v>
      </c>
      <c r="AD10" s="124" t="s">
        <v>606</v>
      </c>
      <c r="AE10" s="124">
        <v>15034</v>
      </c>
      <c r="AF10" s="124">
        <v>15215</v>
      </c>
      <c r="AG10" s="124">
        <v>6867</v>
      </c>
      <c r="AH10" s="124"/>
      <c r="AI10" s="124">
        <v>8348</v>
      </c>
      <c r="AJ10" s="124"/>
      <c r="AK10" s="124"/>
      <c r="AL10" s="124"/>
      <c r="AM10" s="124"/>
      <c r="AN10" s="124">
        <v>6666.7</v>
      </c>
      <c r="AO10" s="124"/>
      <c r="AP10" s="124"/>
      <c r="AQ10" s="124">
        <v>1805.6</v>
      </c>
      <c r="AR10" s="124"/>
      <c r="AS10" s="124"/>
      <c r="AT10" s="124"/>
      <c r="AU10" s="124"/>
      <c r="AV10" s="124"/>
      <c r="AW10" s="124"/>
      <c r="AX10" s="124">
        <v>1625</v>
      </c>
      <c r="AY10" s="124"/>
      <c r="AZ10" s="124">
        <v>833.8</v>
      </c>
      <c r="BA10" s="124">
        <v>823.9</v>
      </c>
      <c r="BB10" s="124"/>
      <c r="BC10" s="124"/>
      <c r="BD10" s="124">
        <v>83.4</v>
      </c>
      <c r="BE10" s="124"/>
      <c r="BF10" s="124">
        <v>59.6</v>
      </c>
      <c r="BG10" s="124"/>
      <c r="BH10" s="129">
        <v>8.3000000000000007</v>
      </c>
      <c r="BI10" s="124">
        <v>9.6999999999999993</v>
      </c>
    </row>
    <row r="11" spans="1:67">
      <c r="B11" s="34" t="s">
        <v>565</v>
      </c>
      <c r="C11">
        <v>0.94799999999999995</v>
      </c>
      <c r="D11" s="34" t="s">
        <v>46</v>
      </c>
      <c r="E11" s="34" t="s">
        <v>46</v>
      </c>
      <c r="F11" s="4" t="s">
        <v>608</v>
      </c>
      <c r="G11" s="123">
        <v>3.5</v>
      </c>
      <c r="H11" s="123" t="s">
        <v>47</v>
      </c>
      <c r="I11" s="123">
        <v>8</v>
      </c>
      <c r="J11" s="123">
        <v>6</v>
      </c>
      <c r="K11" s="123">
        <v>2</v>
      </c>
      <c r="L11" s="123">
        <v>426</v>
      </c>
      <c r="M11" s="123">
        <v>54</v>
      </c>
      <c r="N11" s="124">
        <v>24</v>
      </c>
      <c r="O11" s="124">
        <v>8.3000000000000007</v>
      </c>
      <c r="P11" s="123">
        <v>10.199999999999999</v>
      </c>
      <c r="Q11" s="123">
        <v>87.6</v>
      </c>
      <c r="R11" s="123"/>
      <c r="S11" s="125">
        <v>49.1</v>
      </c>
      <c r="T11" s="125">
        <f>IF(G11=0,$P$10*S11,$P$11*S11)</f>
        <v>500.82</v>
      </c>
      <c r="U11" s="126">
        <f>IF(H11="Max",S11/21000*110*$R$376,S11/19030*71*$R$376)</f>
        <v>0</v>
      </c>
      <c r="V11" s="127">
        <f>IF(G11=0,$R$10*U11,$R$11*U11)</f>
        <v>0</v>
      </c>
      <c r="W11" s="126">
        <v>0.35</v>
      </c>
      <c r="X11" s="126">
        <f>IF(G11=0,$T$10*W11,$T$11*W11)</f>
        <v>175.28699999999998</v>
      </c>
      <c r="Y11" s="125">
        <v>32.799999999999997</v>
      </c>
      <c r="Z11" s="125">
        <f>IF(G11=0,$V$10*Y11,$V$11*Y11)</f>
        <v>0</v>
      </c>
      <c r="AA11" s="128"/>
      <c r="AB11" s="124">
        <v>45</v>
      </c>
      <c r="AC11" s="124">
        <v>90</v>
      </c>
      <c r="AD11" s="124" t="s">
        <v>606</v>
      </c>
      <c r="AE11" s="124">
        <v>14881</v>
      </c>
      <c r="AF11" s="124">
        <v>14937</v>
      </c>
      <c r="AG11" s="124">
        <v>6741.6</v>
      </c>
      <c r="AH11" s="124"/>
      <c r="AI11" s="124">
        <v>8195.9</v>
      </c>
      <c r="AJ11" s="124"/>
      <c r="AK11" s="124"/>
      <c r="AL11" s="124"/>
      <c r="AM11" s="124"/>
      <c r="AN11" s="124">
        <v>6666.7</v>
      </c>
      <c r="AO11" s="124"/>
      <c r="AP11" s="124"/>
      <c r="AQ11" s="124">
        <v>555.6</v>
      </c>
      <c r="AR11" s="124"/>
      <c r="AS11" s="124"/>
      <c r="AT11" s="124"/>
      <c r="AU11" s="124"/>
      <c r="AV11" s="124"/>
      <c r="AW11" s="124"/>
      <c r="AX11" s="124">
        <v>500</v>
      </c>
      <c r="AY11" s="124"/>
      <c r="AZ11" s="124">
        <v>940.2</v>
      </c>
      <c r="BA11" s="124">
        <v>930.3</v>
      </c>
      <c r="BB11" s="124"/>
      <c r="BC11" s="124"/>
      <c r="BD11" s="124">
        <v>37.5</v>
      </c>
      <c r="BE11" s="124"/>
      <c r="BF11" s="124">
        <v>30.6</v>
      </c>
      <c r="BG11" s="124"/>
      <c r="BH11" s="129">
        <v>8.1</v>
      </c>
      <c r="BI11" s="124">
        <v>3</v>
      </c>
    </row>
    <row r="12" spans="1:67">
      <c r="B12" s="34" t="s">
        <v>567</v>
      </c>
      <c r="C12" s="44">
        <f>C8*C9*C7*0.000434/C10/C11/C4</f>
        <v>163.37244903080739</v>
      </c>
      <c r="E12" s="63" t="s">
        <v>46</v>
      </c>
      <c r="F12" s="4"/>
      <c r="G12" s="123"/>
      <c r="H12" s="123"/>
      <c r="I12" s="123"/>
      <c r="J12" s="123"/>
      <c r="K12" s="123"/>
      <c r="L12" s="123"/>
      <c r="M12" s="123"/>
      <c r="N12" s="124"/>
      <c r="O12" s="124"/>
      <c r="P12" s="123"/>
      <c r="Q12" s="123"/>
      <c r="R12" s="123"/>
      <c r="S12" s="125"/>
      <c r="T12" s="125"/>
      <c r="U12" s="126"/>
      <c r="V12" s="127"/>
      <c r="W12" s="126"/>
      <c r="X12" s="126"/>
      <c r="Y12" s="125"/>
      <c r="Z12" s="125"/>
      <c r="AA12" s="128"/>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9"/>
      <c r="BI12" s="124"/>
    </row>
    <row r="13" spans="1:67">
      <c r="B13" s="34" t="s">
        <v>570</v>
      </c>
      <c r="C13" s="43">
        <f>C12*24/AN5/1440*1000</f>
        <v>0.40842908043161635</v>
      </c>
      <c r="F13" s="4" t="s">
        <v>608</v>
      </c>
      <c r="G13" s="123">
        <v>5</v>
      </c>
      <c r="H13" s="123" t="s">
        <v>65</v>
      </c>
      <c r="I13" s="123">
        <v>20</v>
      </c>
      <c r="J13" s="123">
        <v>6</v>
      </c>
      <c r="K13" s="123">
        <v>2</v>
      </c>
      <c r="L13" s="123">
        <v>426</v>
      </c>
      <c r="M13" s="123">
        <v>54</v>
      </c>
      <c r="N13" s="124">
        <v>24</v>
      </c>
      <c r="O13" s="124">
        <v>8</v>
      </c>
      <c r="P13" s="123">
        <v>10.5</v>
      </c>
      <c r="Q13" s="123">
        <v>79.599999999999994</v>
      </c>
      <c r="R13" s="123"/>
      <c r="S13" s="125">
        <v>44.9</v>
      </c>
      <c r="T13" s="125">
        <f t="shared" ref="T13:T19" si="4">IF(G13=0,$P$10*S13,$P$11*S13)</f>
        <v>457.97999999999996</v>
      </c>
      <c r="U13" s="126">
        <f t="shared" ref="U13:U19" si="5">IF(H13="Max",S13/21000*110*$R$376,S13/19030*71*$R$376)</f>
        <v>0</v>
      </c>
      <c r="V13" s="126">
        <f t="shared" ref="V13:V19" si="6">IF(G13=0,$R$10*U13,$R$11*U13)</f>
        <v>0</v>
      </c>
      <c r="W13" s="126">
        <v>0.46</v>
      </c>
      <c r="X13" s="127">
        <f t="shared" ref="X13:X19" si="7">IF(G13=0,$T$10*W13,$T$11*W13)</f>
        <v>230.37720000000002</v>
      </c>
      <c r="Y13" s="125">
        <v>30</v>
      </c>
      <c r="Z13" s="125">
        <f t="shared" ref="Z13:Z19" si="8">IF(G13=0,$V$10*Y13,$V$11*Y13)</f>
        <v>0</v>
      </c>
      <c r="AA13" s="128"/>
      <c r="AB13" s="124">
        <v>45</v>
      </c>
      <c r="AC13" s="124">
        <v>90</v>
      </c>
      <c r="AD13" s="124" t="s">
        <v>606</v>
      </c>
      <c r="AE13" s="124">
        <v>15043</v>
      </c>
      <c r="AF13" s="124">
        <v>15230</v>
      </c>
      <c r="AG13" s="124">
        <v>6873.9</v>
      </c>
      <c r="AH13" s="124"/>
      <c r="AI13" s="124">
        <v>8356.7999999999993</v>
      </c>
      <c r="AJ13" s="124"/>
      <c r="AK13" s="124"/>
      <c r="AL13" s="124"/>
      <c r="AM13" s="124"/>
      <c r="AN13" s="124">
        <v>6666.7</v>
      </c>
      <c r="AO13" s="124"/>
      <c r="AP13" s="124"/>
      <c r="AQ13" s="124">
        <v>1875</v>
      </c>
      <c r="AR13" s="124"/>
      <c r="AS13" s="124"/>
      <c r="AT13" s="124"/>
      <c r="AU13" s="124"/>
      <c r="AV13" s="124"/>
      <c r="AW13" s="124"/>
      <c r="AX13" s="124">
        <v>1687.5</v>
      </c>
      <c r="AY13" s="124"/>
      <c r="AZ13" s="124">
        <v>774.4</v>
      </c>
      <c r="BA13" s="124">
        <v>764.4</v>
      </c>
      <c r="BB13" s="124"/>
      <c r="BC13" s="124"/>
      <c r="BD13" s="124">
        <v>87</v>
      </c>
      <c r="BE13" s="124"/>
      <c r="BF13" s="124">
        <v>61.1</v>
      </c>
      <c r="BG13" s="124"/>
      <c r="BH13" s="129">
        <v>8.3000000000000007</v>
      </c>
      <c r="BI13" s="124">
        <v>10.1</v>
      </c>
    </row>
    <row r="14" spans="1:67">
      <c r="F14" s="4" t="s">
        <v>608</v>
      </c>
      <c r="G14" s="123">
        <v>5</v>
      </c>
      <c r="H14" s="123" t="s">
        <v>65</v>
      </c>
      <c r="I14" s="123">
        <v>18</v>
      </c>
      <c r="J14" s="123">
        <v>6</v>
      </c>
      <c r="K14" s="123">
        <v>2</v>
      </c>
      <c r="L14" s="123">
        <v>426</v>
      </c>
      <c r="M14" s="123">
        <v>54</v>
      </c>
      <c r="N14" s="124">
        <v>24</v>
      </c>
      <c r="O14" s="124">
        <v>8</v>
      </c>
      <c r="P14" s="123">
        <v>10.5</v>
      </c>
      <c r="Q14" s="123">
        <v>84</v>
      </c>
      <c r="R14" s="123"/>
      <c r="S14" s="125">
        <v>47.4</v>
      </c>
      <c r="T14" s="125">
        <f t="shared" si="4"/>
        <v>483.47999999999996</v>
      </c>
      <c r="U14" s="126">
        <f t="shared" si="5"/>
        <v>0</v>
      </c>
      <c r="V14" s="126">
        <f t="shared" si="6"/>
        <v>0</v>
      </c>
      <c r="W14" s="126">
        <v>0.46</v>
      </c>
      <c r="X14" s="127">
        <f t="shared" si="7"/>
        <v>230.37720000000002</v>
      </c>
      <c r="Y14" s="125">
        <v>31.6</v>
      </c>
      <c r="Z14" s="125">
        <f t="shared" si="8"/>
        <v>0</v>
      </c>
      <c r="AA14" s="128"/>
      <c r="AB14" s="124">
        <v>45</v>
      </c>
      <c r="AC14" s="124">
        <v>90</v>
      </c>
      <c r="AD14" s="124" t="s">
        <v>606</v>
      </c>
      <c r="AE14" s="124">
        <v>15000</v>
      </c>
      <c r="AF14" s="124">
        <v>15135</v>
      </c>
      <c r="AG14" s="124">
        <v>6839.1</v>
      </c>
      <c r="AH14" s="124"/>
      <c r="AI14" s="124">
        <v>8314.4</v>
      </c>
      <c r="AJ14" s="124"/>
      <c r="AK14" s="124"/>
      <c r="AL14" s="124"/>
      <c r="AM14" s="124"/>
      <c r="AN14" s="124">
        <v>6666.7</v>
      </c>
      <c r="AO14" s="124"/>
      <c r="AP14" s="124"/>
      <c r="AQ14" s="124">
        <v>1527.8</v>
      </c>
      <c r="AR14" s="124"/>
      <c r="AS14" s="124"/>
      <c r="AT14" s="124"/>
      <c r="AU14" s="124"/>
      <c r="AV14" s="124"/>
      <c r="AW14" s="124"/>
      <c r="AX14" s="124">
        <v>1375</v>
      </c>
      <c r="AY14" s="124"/>
      <c r="AZ14" s="124">
        <v>785.3</v>
      </c>
      <c r="BA14" s="124">
        <v>775.3</v>
      </c>
      <c r="BB14" s="124"/>
      <c r="BC14" s="124"/>
      <c r="BD14" s="124">
        <v>75.099999999999994</v>
      </c>
      <c r="BE14" s="124"/>
      <c r="BF14" s="124">
        <v>55</v>
      </c>
      <c r="BG14" s="124"/>
      <c r="BH14" s="129">
        <v>8.1999999999999993</v>
      </c>
      <c r="BI14" s="124">
        <v>8.1999999999999993</v>
      </c>
    </row>
    <row r="15" spans="1:67">
      <c r="A15" s="34" t="s">
        <v>572</v>
      </c>
      <c r="B15" s="34" t="s">
        <v>561</v>
      </c>
      <c r="C15">
        <f>AG5</f>
        <v>6839.1</v>
      </c>
      <c r="F15" s="4" t="s">
        <v>608</v>
      </c>
      <c r="G15" s="123">
        <v>5</v>
      </c>
      <c r="H15" s="123" t="s">
        <v>65</v>
      </c>
      <c r="I15" s="123">
        <v>15</v>
      </c>
      <c r="J15" s="123">
        <v>6</v>
      </c>
      <c r="K15" s="123">
        <v>2</v>
      </c>
      <c r="L15" s="123">
        <v>426</v>
      </c>
      <c r="M15" s="123">
        <v>54</v>
      </c>
      <c r="N15" s="124">
        <v>24</v>
      </c>
      <c r="O15" s="124">
        <v>8</v>
      </c>
      <c r="P15" s="123">
        <v>10.5</v>
      </c>
      <c r="Q15" s="123">
        <v>89</v>
      </c>
      <c r="R15" s="123"/>
      <c r="S15" s="125">
        <v>50.2</v>
      </c>
      <c r="T15" s="125">
        <f t="shared" si="4"/>
        <v>512.04</v>
      </c>
      <c r="U15" s="126">
        <f t="shared" si="5"/>
        <v>0</v>
      </c>
      <c r="V15" s="126">
        <f t="shared" si="6"/>
        <v>0</v>
      </c>
      <c r="W15" s="126">
        <v>0.46</v>
      </c>
      <c r="X15" s="127">
        <f t="shared" si="7"/>
        <v>230.37720000000002</v>
      </c>
      <c r="Y15" s="125">
        <v>33.5</v>
      </c>
      <c r="Z15" s="125">
        <f t="shared" si="8"/>
        <v>0</v>
      </c>
      <c r="AA15" s="128"/>
      <c r="AB15" s="124">
        <v>45</v>
      </c>
      <c r="AC15" s="124">
        <v>90</v>
      </c>
      <c r="AD15" s="124" t="s">
        <v>606</v>
      </c>
      <c r="AE15" s="124">
        <v>14941</v>
      </c>
      <c r="AF15" s="124">
        <v>15045</v>
      </c>
      <c r="AG15" s="124">
        <v>6790.3</v>
      </c>
      <c r="AH15" s="124"/>
      <c r="AI15" s="124">
        <v>8255.2000000000007</v>
      </c>
      <c r="AJ15" s="124"/>
      <c r="AK15" s="124"/>
      <c r="AL15" s="124"/>
      <c r="AM15" s="124"/>
      <c r="AN15" s="124">
        <v>6666.7</v>
      </c>
      <c r="AO15" s="124"/>
      <c r="AP15" s="124"/>
      <c r="AQ15" s="124">
        <v>1041.7</v>
      </c>
      <c r="AR15" s="124"/>
      <c r="AS15" s="124"/>
      <c r="AT15" s="124"/>
      <c r="AU15" s="124"/>
      <c r="AV15" s="124"/>
      <c r="AW15" s="124"/>
      <c r="AX15" s="124">
        <v>937.5</v>
      </c>
      <c r="AY15" s="124"/>
      <c r="AZ15" s="124">
        <v>806.5</v>
      </c>
      <c r="BA15" s="124">
        <v>796.6</v>
      </c>
      <c r="BB15" s="124"/>
      <c r="BC15" s="124"/>
      <c r="BD15" s="124">
        <v>57</v>
      </c>
      <c r="BE15" s="124"/>
      <c r="BF15" s="124">
        <v>44.1</v>
      </c>
      <c r="BG15" s="124"/>
      <c r="BH15" s="129">
        <v>8.1999999999999993</v>
      </c>
      <c r="BI15" s="124">
        <v>5.6</v>
      </c>
    </row>
    <row r="16" spans="1:67">
      <c r="B16" s="34" t="s">
        <v>562</v>
      </c>
      <c r="C16">
        <f>AZ5-C7+1+10</f>
        <v>714</v>
      </c>
      <c r="F16" s="4" t="s">
        <v>608</v>
      </c>
      <c r="G16" s="123">
        <v>5</v>
      </c>
      <c r="H16" s="123" t="s">
        <v>65</v>
      </c>
      <c r="I16" s="123">
        <v>13</v>
      </c>
      <c r="J16" s="123">
        <v>6</v>
      </c>
      <c r="K16" s="123">
        <v>2</v>
      </c>
      <c r="L16" s="123">
        <v>426</v>
      </c>
      <c r="M16" s="123">
        <v>54</v>
      </c>
      <c r="N16" s="124">
        <v>24</v>
      </c>
      <c r="O16" s="124">
        <v>8</v>
      </c>
      <c r="P16" s="123">
        <v>10.5</v>
      </c>
      <c r="Q16" s="123">
        <v>91.7</v>
      </c>
      <c r="R16" s="123"/>
      <c r="S16" s="125">
        <v>51.7</v>
      </c>
      <c r="T16" s="125">
        <f t="shared" si="4"/>
        <v>527.34</v>
      </c>
      <c r="U16" s="126">
        <f t="shared" si="5"/>
        <v>0</v>
      </c>
      <c r="V16" s="126">
        <f t="shared" si="6"/>
        <v>0</v>
      </c>
      <c r="W16" s="126">
        <v>0.46</v>
      </c>
      <c r="X16" s="127">
        <f t="shared" si="7"/>
        <v>230.37720000000002</v>
      </c>
      <c r="Y16" s="125">
        <v>34.5</v>
      </c>
      <c r="Z16" s="125">
        <f t="shared" si="8"/>
        <v>0</v>
      </c>
      <c r="AA16" s="128"/>
      <c r="AB16" s="124">
        <v>45</v>
      </c>
      <c r="AC16" s="124">
        <v>90</v>
      </c>
      <c r="AD16" s="124" t="s">
        <v>606</v>
      </c>
      <c r="AE16" s="124">
        <v>14907</v>
      </c>
      <c r="AF16" s="124">
        <v>14983</v>
      </c>
      <c r="AG16" s="124">
        <v>6762.5</v>
      </c>
      <c r="AH16" s="124"/>
      <c r="AI16" s="124">
        <v>8221.2999999999993</v>
      </c>
      <c r="AJ16" s="124"/>
      <c r="AK16" s="124"/>
      <c r="AL16" s="124"/>
      <c r="AM16" s="124"/>
      <c r="AN16" s="124">
        <v>6666.7</v>
      </c>
      <c r="AO16" s="124"/>
      <c r="AP16" s="124"/>
      <c r="AQ16" s="124">
        <v>763.9</v>
      </c>
      <c r="AR16" s="124"/>
      <c r="AS16" s="124"/>
      <c r="AT16" s="124"/>
      <c r="AU16" s="124"/>
      <c r="AV16" s="124"/>
      <c r="AW16" s="124"/>
      <c r="AX16" s="124">
        <v>687.5</v>
      </c>
      <c r="AY16" s="124"/>
      <c r="AZ16" s="124">
        <v>824.8</v>
      </c>
      <c r="BA16" s="124">
        <v>814.8</v>
      </c>
      <c r="BB16" s="124"/>
      <c r="BC16" s="124"/>
      <c r="BD16" s="124">
        <v>45.3</v>
      </c>
      <c r="BE16" s="124"/>
      <c r="BF16" s="124">
        <v>36.1</v>
      </c>
      <c r="BG16" s="124"/>
      <c r="BH16" s="129">
        <v>8.1</v>
      </c>
      <c r="BI16" s="124">
        <v>4.0999999999999996</v>
      </c>
    </row>
    <row r="17" spans="1:61">
      <c r="B17" s="34" t="s">
        <v>563</v>
      </c>
      <c r="C17">
        <f>J5</f>
        <v>7</v>
      </c>
      <c r="F17" s="4" t="s">
        <v>608</v>
      </c>
      <c r="G17" s="123">
        <v>5</v>
      </c>
      <c r="H17" s="123" t="s">
        <v>65</v>
      </c>
      <c r="I17" s="123">
        <v>12</v>
      </c>
      <c r="J17" s="123">
        <v>6</v>
      </c>
      <c r="K17" s="123">
        <v>2</v>
      </c>
      <c r="L17" s="123">
        <v>426</v>
      </c>
      <c r="M17" s="123">
        <v>54</v>
      </c>
      <c r="N17" s="124">
        <v>24</v>
      </c>
      <c r="O17" s="124">
        <v>8</v>
      </c>
      <c r="P17" s="123">
        <v>10.5</v>
      </c>
      <c r="Q17" s="123">
        <v>62</v>
      </c>
      <c r="R17" s="123"/>
      <c r="S17" s="125">
        <v>34.9</v>
      </c>
      <c r="T17" s="125">
        <f t="shared" si="4"/>
        <v>355.97999999999996</v>
      </c>
      <c r="U17" s="126">
        <f t="shared" si="5"/>
        <v>0</v>
      </c>
      <c r="V17" s="126">
        <f t="shared" si="6"/>
        <v>0</v>
      </c>
      <c r="W17" s="126">
        <v>0.32</v>
      </c>
      <c r="X17" s="130">
        <f t="shared" si="7"/>
        <v>160.26240000000001</v>
      </c>
      <c r="Y17" s="125">
        <v>23.3</v>
      </c>
      <c r="Z17" s="131">
        <f t="shared" si="8"/>
        <v>0</v>
      </c>
      <c r="AA17" s="128"/>
      <c r="AB17" s="124">
        <v>45</v>
      </c>
      <c r="AC17" s="124">
        <v>90</v>
      </c>
      <c r="AD17" s="124" t="s">
        <v>606</v>
      </c>
      <c r="AE17" s="124">
        <v>15030</v>
      </c>
      <c r="AF17" s="124">
        <v>15207</v>
      </c>
      <c r="AG17" s="124">
        <v>6863.5</v>
      </c>
      <c r="AH17" s="124"/>
      <c r="AI17" s="124">
        <v>8344.1</v>
      </c>
      <c r="AJ17" s="124"/>
      <c r="AK17" s="124"/>
      <c r="AL17" s="124"/>
      <c r="AM17" s="124"/>
      <c r="AN17" s="124">
        <v>6666.7</v>
      </c>
      <c r="AO17" s="124"/>
      <c r="AP17" s="124"/>
      <c r="AQ17" s="124">
        <v>1770.8</v>
      </c>
      <c r="AR17" s="124"/>
      <c r="AS17" s="124"/>
      <c r="AT17" s="124"/>
      <c r="AU17" s="124"/>
      <c r="AV17" s="124"/>
      <c r="AW17" s="124"/>
      <c r="AX17" s="124">
        <v>1593.8</v>
      </c>
      <c r="AY17" s="124"/>
      <c r="AZ17" s="124">
        <v>835.7</v>
      </c>
      <c r="BA17" s="124">
        <v>825.5</v>
      </c>
      <c r="BB17" s="124"/>
      <c r="BC17" s="124"/>
      <c r="BD17" s="124">
        <v>96.6</v>
      </c>
      <c r="BE17" s="124"/>
      <c r="BF17" s="124">
        <v>70.900000000000006</v>
      </c>
      <c r="BG17" s="124"/>
      <c r="BH17" s="129">
        <v>8.3000000000000007</v>
      </c>
      <c r="BI17" s="124">
        <v>9.6</v>
      </c>
    </row>
    <row r="18" spans="1:61">
      <c r="B18" s="34" t="s">
        <v>575</v>
      </c>
      <c r="C18" s="44">
        <f>C15/C17</f>
        <v>977.01428571428573</v>
      </c>
      <c r="F18" s="4" t="s">
        <v>608</v>
      </c>
      <c r="G18" s="123">
        <v>5</v>
      </c>
      <c r="H18" s="123" t="s">
        <v>65</v>
      </c>
      <c r="I18" s="123">
        <v>10</v>
      </c>
      <c r="J18" s="123">
        <v>6</v>
      </c>
      <c r="K18" s="123">
        <v>2</v>
      </c>
      <c r="L18" s="123">
        <v>426</v>
      </c>
      <c r="M18" s="123">
        <v>54</v>
      </c>
      <c r="N18" s="124">
        <v>24</v>
      </c>
      <c r="O18" s="124">
        <v>8</v>
      </c>
      <c r="P18" s="123">
        <v>10.5</v>
      </c>
      <c r="Q18" s="123">
        <v>61.7</v>
      </c>
      <c r="R18" s="123"/>
      <c r="S18" s="125">
        <v>34.799999999999997</v>
      </c>
      <c r="T18" s="125">
        <f t="shared" si="4"/>
        <v>354.95999999999992</v>
      </c>
      <c r="U18" s="126">
        <f t="shared" si="5"/>
        <v>0</v>
      </c>
      <c r="V18" s="126">
        <f t="shared" si="6"/>
        <v>0</v>
      </c>
      <c r="W18" s="126">
        <v>0.31</v>
      </c>
      <c r="X18" s="130">
        <f t="shared" si="7"/>
        <v>155.2542</v>
      </c>
      <c r="Y18" s="125">
        <v>23.2</v>
      </c>
      <c r="Z18" s="131">
        <f t="shared" si="8"/>
        <v>0</v>
      </c>
      <c r="AA18" s="128"/>
      <c r="AB18" s="124">
        <v>45</v>
      </c>
      <c r="AC18" s="124">
        <v>90</v>
      </c>
      <c r="AD18" s="124" t="s">
        <v>606</v>
      </c>
      <c r="AE18" s="124">
        <v>15005</v>
      </c>
      <c r="AF18" s="124">
        <v>15161</v>
      </c>
      <c r="AG18" s="124">
        <v>6842.6</v>
      </c>
      <c r="AH18" s="124"/>
      <c r="AI18" s="124">
        <v>8318.7000000000007</v>
      </c>
      <c r="AJ18" s="124"/>
      <c r="AK18" s="124"/>
      <c r="AL18" s="124"/>
      <c r="AM18" s="124"/>
      <c r="AN18" s="124">
        <v>6666.7</v>
      </c>
      <c r="AO18" s="124"/>
      <c r="AP18" s="124"/>
      <c r="AQ18" s="124">
        <v>1562.5</v>
      </c>
      <c r="AR18" s="124"/>
      <c r="AS18" s="124"/>
      <c r="AT18" s="124"/>
      <c r="AU18" s="124"/>
      <c r="AV18" s="124"/>
      <c r="AW18" s="124"/>
      <c r="AX18" s="124">
        <v>1406.3</v>
      </c>
      <c r="AY18" s="124"/>
      <c r="AZ18" s="124">
        <v>860.7</v>
      </c>
      <c r="BA18" s="124">
        <v>850.5</v>
      </c>
      <c r="BB18" s="124"/>
      <c r="BC18" s="124"/>
      <c r="BD18" s="124">
        <v>89.8</v>
      </c>
      <c r="BE18" s="124"/>
      <c r="BF18" s="124">
        <v>67.5</v>
      </c>
      <c r="BG18" s="124"/>
      <c r="BH18" s="129">
        <v>8.1999999999999993</v>
      </c>
      <c r="BI18" s="124">
        <v>8.4</v>
      </c>
    </row>
    <row r="19" spans="1:61">
      <c r="B19" s="34" t="s">
        <v>564</v>
      </c>
      <c r="C19" s="107">
        <v>0.81</v>
      </c>
      <c r="D19" s="34" t="s">
        <v>46</v>
      </c>
      <c r="F19" s="4" t="s">
        <v>608</v>
      </c>
      <c r="G19" s="123">
        <v>5</v>
      </c>
      <c r="H19" s="123" t="s">
        <v>65</v>
      </c>
      <c r="I19" s="123">
        <v>8</v>
      </c>
      <c r="J19" s="123">
        <v>6</v>
      </c>
      <c r="K19" s="123">
        <v>2</v>
      </c>
      <c r="L19" s="123">
        <v>426</v>
      </c>
      <c r="M19" s="123">
        <v>54</v>
      </c>
      <c r="N19" s="124">
        <v>24</v>
      </c>
      <c r="O19" s="124">
        <v>8</v>
      </c>
      <c r="P19" s="123">
        <v>10.5</v>
      </c>
      <c r="Q19" s="123">
        <v>61.5</v>
      </c>
      <c r="R19" s="123"/>
      <c r="S19" s="125">
        <v>34.700000000000003</v>
      </c>
      <c r="T19" s="125">
        <f t="shared" si="4"/>
        <v>353.94</v>
      </c>
      <c r="U19" s="126">
        <f t="shared" si="5"/>
        <v>0</v>
      </c>
      <c r="V19" s="126">
        <f t="shared" si="6"/>
        <v>0</v>
      </c>
      <c r="W19" s="126">
        <v>0.3</v>
      </c>
      <c r="X19" s="130">
        <f t="shared" si="7"/>
        <v>150.24599999999998</v>
      </c>
      <c r="Y19" s="125">
        <v>23.2</v>
      </c>
      <c r="Z19" s="132">
        <f t="shared" si="8"/>
        <v>0</v>
      </c>
      <c r="AA19" s="128"/>
      <c r="AB19" s="124">
        <v>45</v>
      </c>
      <c r="AC19" s="124">
        <v>90</v>
      </c>
      <c r="AD19" s="124" t="s">
        <v>606</v>
      </c>
      <c r="AE19" s="124">
        <v>14975</v>
      </c>
      <c r="AF19" s="124">
        <v>15107</v>
      </c>
      <c r="AG19" s="124">
        <v>6818.2</v>
      </c>
      <c r="AH19" s="124"/>
      <c r="AI19" s="124">
        <v>8289</v>
      </c>
      <c r="AJ19" s="124"/>
      <c r="AK19" s="124"/>
      <c r="AL19" s="124"/>
      <c r="AM19" s="124"/>
      <c r="AN19" s="124">
        <v>6666.7</v>
      </c>
      <c r="AO19" s="124"/>
      <c r="AP19" s="124"/>
      <c r="AQ19" s="124">
        <v>1319.4</v>
      </c>
      <c r="AR19" s="124"/>
      <c r="AS19" s="124"/>
      <c r="AT19" s="124"/>
      <c r="AU19" s="124"/>
      <c r="AV19" s="124"/>
      <c r="AW19" s="124"/>
      <c r="AX19" s="124">
        <v>1187.5</v>
      </c>
      <c r="AY19" s="124"/>
      <c r="AZ19" s="124">
        <v>891</v>
      </c>
      <c r="BA19" s="124">
        <v>880.7</v>
      </c>
      <c r="BB19" s="124"/>
      <c r="BC19" s="124"/>
      <c r="BD19" s="124">
        <v>80.2</v>
      </c>
      <c r="BE19" s="124"/>
      <c r="BF19" s="124">
        <v>61.9</v>
      </c>
      <c r="BG19" s="124"/>
      <c r="BH19" s="129">
        <v>8.1999999999999993</v>
      </c>
      <c r="BI19" s="124">
        <v>7.1</v>
      </c>
    </row>
    <row r="20" spans="1:61">
      <c r="A20" s="34" t="s">
        <v>46</v>
      </c>
      <c r="B20" s="34" t="s">
        <v>565</v>
      </c>
      <c r="C20" s="34">
        <v>0.96499999999999997</v>
      </c>
      <c r="D20" s="34" t="s">
        <v>46</v>
      </c>
      <c r="E20" s="34" t="s">
        <v>46</v>
      </c>
      <c r="F20" s="4"/>
      <c r="G20" s="123"/>
      <c r="H20" s="123"/>
      <c r="I20" s="123"/>
      <c r="J20" s="123"/>
      <c r="K20" s="123"/>
      <c r="L20" s="123"/>
      <c r="M20" s="123"/>
      <c r="N20" s="124"/>
      <c r="O20" s="124"/>
      <c r="P20" s="123"/>
      <c r="Q20" s="123"/>
      <c r="R20" s="123"/>
      <c r="S20" s="125"/>
      <c r="T20" s="125"/>
      <c r="U20" s="126"/>
      <c r="V20" s="126"/>
      <c r="W20" s="126"/>
      <c r="X20" s="127"/>
      <c r="Y20" s="125"/>
      <c r="Z20" s="125"/>
      <c r="AA20" s="128"/>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9"/>
      <c r="BI20" s="124"/>
    </row>
    <row r="21" spans="1:61">
      <c r="A21" s="25" t="s">
        <v>46</v>
      </c>
      <c r="B21" s="34" t="s">
        <v>567</v>
      </c>
      <c r="C21" s="44">
        <f>C17*C16*C18*0.000434/C19/C20/C4</f>
        <v>2795.1352598685967</v>
      </c>
      <c r="D21" s="34" t="s">
        <v>46</v>
      </c>
      <c r="E21" s="34" t="s">
        <v>46</v>
      </c>
      <c r="F21" s="133" t="s">
        <v>608</v>
      </c>
      <c r="G21" s="134">
        <v>3.5</v>
      </c>
      <c r="H21" s="134" t="s">
        <v>65</v>
      </c>
      <c r="I21" s="134">
        <v>20</v>
      </c>
      <c r="J21" s="134">
        <v>6</v>
      </c>
      <c r="K21" s="134">
        <v>2</v>
      </c>
      <c r="L21" s="134">
        <v>426</v>
      </c>
      <c r="M21" s="134">
        <v>54</v>
      </c>
      <c r="N21" s="135">
        <v>24</v>
      </c>
      <c r="O21" s="135">
        <v>8</v>
      </c>
      <c r="P21" s="134">
        <v>10.4</v>
      </c>
      <c r="Q21" s="134">
        <v>51.4</v>
      </c>
      <c r="R21" s="134"/>
      <c r="S21" s="136">
        <v>29</v>
      </c>
      <c r="T21" s="136">
        <f t="shared" ref="T21:T31" si="9">IF(G21=0,$P$10*S21,$P$11*S21)</f>
        <v>295.79999999999995</v>
      </c>
      <c r="U21" s="126">
        <f>IF(H21="Max",S21/21000*110*$R$376,S21/19030*71*$R$376)</f>
        <v>0</v>
      </c>
      <c r="V21" s="137">
        <f t="shared" ref="V21:V31" si="10">IF(G21=0,$R$10*U21,$R$11*U21)</f>
        <v>0</v>
      </c>
      <c r="W21" s="137">
        <v>0.33</v>
      </c>
      <c r="X21" s="138">
        <f t="shared" ref="X21:X31" si="11">IF(G21=0,$T$10*W21,$T$11*W21)</f>
        <v>165.2706</v>
      </c>
      <c r="Y21" s="136">
        <v>19.3</v>
      </c>
      <c r="Z21" s="136">
        <f t="shared" ref="Z21:Z31" si="12">IF(G21=0,$V$10*Y21,$V$11*Y21)</f>
        <v>0</v>
      </c>
      <c r="AA21" s="139"/>
      <c r="AB21" s="135">
        <v>45</v>
      </c>
      <c r="AC21" s="135">
        <v>90</v>
      </c>
      <c r="AD21" s="135" t="s">
        <v>606</v>
      </c>
      <c r="AE21" s="135">
        <v>15187</v>
      </c>
      <c r="AF21" s="135">
        <v>15493</v>
      </c>
      <c r="AG21" s="135">
        <v>6992.3</v>
      </c>
      <c r="AH21" s="135"/>
      <c r="AI21" s="135">
        <v>8500.7000000000007</v>
      </c>
      <c r="AJ21" s="135"/>
      <c r="AK21" s="135"/>
      <c r="AL21" s="135"/>
      <c r="AM21" s="135"/>
      <c r="AN21" s="135">
        <v>6666.7</v>
      </c>
      <c r="AO21" s="135"/>
      <c r="AP21" s="135"/>
      <c r="AQ21" s="135">
        <v>3055.6</v>
      </c>
      <c r="AR21" s="135"/>
      <c r="AS21" s="135"/>
      <c r="AT21" s="135"/>
      <c r="AU21" s="135"/>
      <c r="AV21" s="135"/>
      <c r="AW21" s="135"/>
      <c r="AX21" s="135">
        <v>2750</v>
      </c>
      <c r="AY21" s="135"/>
      <c r="AZ21" s="135">
        <v>757.6</v>
      </c>
      <c r="BA21" s="135">
        <v>747.4</v>
      </c>
      <c r="BB21" s="135"/>
      <c r="BC21" s="135"/>
      <c r="BD21" s="135">
        <v>132.9</v>
      </c>
      <c r="BE21" s="135"/>
      <c r="BF21" s="135">
        <v>83.1</v>
      </c>
      <c r="BG21" s="135"/>
      <c r="BH21" s="140">
        <v>8.4</v>
      </c>
      <c r="BI21" s="135">
        <v>16.5</v>
      </c>
    </row>
    <row r="22" spans="1:61">
      <c r="B22" s="34" t="s">
        <v>570</v>
      </c>
      <c r="C22" s="44">
        <f>C21*24/AN5/1440*1000</f>
        <v>6.9878032106554384</v>
      </c>
      <c r="F22" s="4" t="s">
        <v>608</v>
      </c>
      <c r="G22" s="123">
        <v>3.5</v>
      </c>
      <c r="H22" s="123" t="s">
        <v>65</v>
      </c>
      <c r="I22" s="123">
        <v>20</v>
      </c>
      <c r="J22" s="123">
        <v>6</v>
      </c>
      <c r="K22" s="123">
        <v>2</v>
      </c>
      <c r="L22" s="123">
        <v>426</v>
      </c>
      <c r="M22" s="123">
        <v>54</v>
      </c>
      <c r="N22" s="124">
        <v>24</v>
      </c>
      <c r="O22" s="124">
        <v>8</v>
      </c>
      <c r="P22" s="123">
        <v>10.5</v>
      </c>
      <c r="Q22" s="123">
        <v>80.2</v>
      </c>
      <c r="R22" s="123"/>
      <c r="S22" s="125">
        <v>45.2</v>
      </c>
      <c r="T22" s="125">
        <f t="shared" si="9"/>
        <v>461.04</v>
      </c>
      <c r="U22" s="126">
        <f>IF(H22="Max",S22/21000*110*$R$376,S22/19030*71*$R$376)</f>
        <v>0</v>
      </c>
      <c r="V22" s="126">
        <f t="shared" si="10"/>
        <v>0</v>
      </c>
      <c r="W22" s="126">
        <v>0.46</v>
      </c>
      <c r="X22" s="127">
        <f t="shared" si="11"/>
        <v>230.37720000000002</v>
      </c>
      <c r="Y22" s="125">
        <v>30.1</v>
      </c>
      <c r="Z22" s="125">
        <f t="shared" si="12"/>
        <v>0</v>
      </c>
      <c r="AA22" s="128"/>
      <c r="AB22" s="124">
        <v>45</v>
      </c>
      <c r="AC22" s="124">
        <v>90</v>
      </c>
      <c r="AD22" s="124" t="s">
        <v>606</v>
      </c>
      <c r="AE22" s="124">
        <v>15034</v>
      </c>
      <c r="AF22" s="124">
        <v>15215</v>
      </c>
      <c r="AG22" s="124">
        <v>6866.9</v>
      </c>
      <c r="AH22" s="124"/>
      <c r="AI22" s="124">
        <v>8348.2999999999993</v>
      </c>
      <c r="AJ22" s="124"/>
      <c r="AK22" s="124"/>
      <c r="AL22" s="124"/>
      <c r="AM22" s="124"/>
      <c r="AN22" s="124">
        <v>6666.7</v>
      </c>
      <c r="AO22" s="124"/>
      <c r="AP22" s="124"/>
      <c r="AQ22" s="124">
        <v>1805.6</v>
      </c>
      <c r="AR22" s="124"/>
      <c r="AS22" s="124"/>
      <c r="AT22" s="124"/>
      <c r="AU22" s="124"/>
      <c r="AV22" s="124"/>
      <c r="AW22" s="124"/>
      <c r="AX22" s="124">
        <v>1625</v>
      </c>
      <c r="AY22" s="124"/>
      <c r="AZ22" s="124">
        <v>759.3</v>
      </c>
      <c r="BA22" s="124">
        <v>749.5</v>
      </c>
      <c r="BB22" s="124"/>
      <c r="BC22" s="124"/>
      <c r="BD22" s="124">
        <v>81.8</v>
      </c>
      <c r="BE22" s="124"/>
      <c r="BF22" s="124">
        <v>57.5</v>
      </c>
      <c r="BG22" s="124"/>
      <c r="BH22" s="129">
        <v>8.3000000000000007</v>
      </c>
      <c r="BI22" s="124">
        <v>9.6999999999999993</v>
      </c>
    </row>
    <row r="23" spans="1:61">
      <c r="F23" s="133" t="s">
        <v>608</v>
      </c>
      <c r="G23" s="134">
        <v>3.5</v>
      </c>
      <c r="H23" s="134" t="s">
        <v>65</v>
      </c>
      <c r="I23" s="134">
        <v>18</v>
      </c>
      <c r="J23" s="134">
        <v>6</v>
      </c>
      <c r="K23" s="134">
        <v>2</v>
      </c>
      <c r="L23" s="134">
        <v>426</v>
      </c>
      <c r="M23" s="134">
        <v>54</v>
      </c>
      <c r="N23" s="135">
        <v>24</v>
      </c>
      <c r="O23" s="135">
        <v>8</v>
      </c>
      <c r="P23" s="134">
        <v>10.5</v>
      </c>
      <c r="Q23" s="134">
        <v>56.7</v>
      </c>
      <c r="R23" s="134"/>
      <c r="S23" s="136">
        <v>32</v>
      </c>
      <c r="T23" s="136">
        <f t="shared" si="9"/>
        <v>326.39999999999998</v>
      </c>
      <c r="U23" s="126">
        <f>IF(H23="Max",S23/21000*110*$R$376,S23/19030*71*$R$376)</f>
        <v>0</v>
      </c>
      <c r="V23" s="137">
        <f t="shared" si="10"/>
        <v>0</v>
      </c>
      <c r="W23" s="137">
        <v>0.33</v>
      </c>
      <c r="X23" s="138">
        <f t="shared" si="11"/>
        <v>165.2706</v>
      </c>
      <c r="Y23" s="136">
        <v>21.3</v>
      </c>
      <c r="Z23" s="136">
        <f t="shared" si="12"/>
        <v>0</v>
      </c>
      <c r="AA23" s="139"/>
      <c r="AB23" s="135">
        <v>45</v>
      </c>
      <c r="AC23" s="135">
        <v>90</v>
      </c>
      <c r="AD23" s="135" t="s">
        <v>606</v>
      </c>
      <c r="AE23" s="135">
        <v>15128</v>
      </c>
      <c r="AF23" s="135">
        <v>15385</v>
      </c>
      <c r="AG23" s="135">
        <v>6943.6</v>
      </c>
      <c r="AH23" s="135"/>
      <c r="AI23" s="135">
        <v>8441.4</v>
      </c>
      <c r="AJ23" s="135"/>
      <c r="AK23" s="135"/>
      <c r="AL23" s="135"/>
      <c r="AM23" s="135"/>
      <c r="AN23" s="135">
        <v>6666.7</v>
      </c>
      <c r="AO23" s="135"/>
      <c r="AP23" s="135"/>
      <c r="AQ23" s="135">
        <v>2569.4</v>
      </c>
      <c r="AR23" s="135"/>
      <c r="AS23" s="135"/>
      <c r="AT23" s="135"/>
      <c r="AU23" s="135"/>
      <c r="AV23" s="135"/>
      <c r="AW23" s="135"/>
      <c r="AX23" s="135">
        <v>2312.5</v>
      </c>
      <c r="AY23" s="135"/>
      <c r="AZ23" s="135">
        <v>768.1</v>
      </c>
      <c r="BA23" s="135">
        <v>758</v>
      </c>
      <c r="BB23" s="135"/>
      <c r="BC23" s="135"/>
      <c r="BD23" s="135">
        <v>117.1</v>
      </c>
      <c r="BE23" s="135"/>
      <c r="BF23" s="135">
        <v>77.099999999999994</v>
      </c>
      <c r="BG23" s="135"/>
      <c r="BH23" s="140">
        <v>8.4</v>
      </c>
      <c r="BI23" s="135">
        <v>13.9</v>
      </c>
    </row>
    <row r="24" spans="1:61">
      <c r="A24" s="34" t="s">
        <v>573</v>
      </c>
      <c r="B24" s="34" t="s">
        <v>561</v>
      </c>
      <c r="C24">
        <f>AI5</f>
        <v>8314</v>
      </c>
      <c r="F24" s="4" t="s">
        <v>608</v>
      </c>
      <c r="G24" s="123">
        <v>3.5</v>
      </c>
      <c r="H24" s="123" t="s">
        <v>65</v>
      </c>
      <c r="I24" s="123">
        <v>18</v>
      </c>
      <c r="J24" s="123">
        <v>6</v>
      </c>
      <c r="K24" s="123">
        <v>2</v>
      </c>
      <c r="L24" s="123">
        <v>426</v>
      </c>
      <c r="M24" s="123">
        <v>54</v>
      </c>
      <c r="N24" s="124">
        <v>24</v>
      </c>
      <c r="O24" s="124">
        <v>8</v>
      </c>
      <c r="P24" s="123">
        <v>10.5</v>
      </c>
      <c r="Q24" s="123">
        <v>82.6</v>
      </c>
      <c r="R24" s="123"/>
      <c r="S24" s="125">
        <v>46.6</v>
      </c>
      <c r="T24" s="125">
        <f t="shared" si="9"/>
        <v>475.32</v>
      </c>
      <c r="U24" s="126">
        <f t="shared" ref="U24" si="13">IF(H24="Max",S24/21000*110*$R$376,S24/19030*71*$R$376)</f>
        <v>0</v>
      </c>
      <c r="V24" s="126">
        <f t="shared" si="10"/>
        <v>0</v>
      </c>
      <c r="W24" s="126">
        <v>0.46</v>
      </c>
      <c r="X24" s="127">
        <f t="shared" si="11"/>
        <v>230.37720000000002</v>
      </c>
      <c r="Y24" s="125">
        <v>31.1</v>
      </c>
      <c r="Z24" s="125">
        <f t="shared" si="12"/>
        <v>0</v>
      </c>
      <c r="AA24" s="128"/>
      <c r="AB24" s="124">
        <v>45</v>
      </c>
      <c r="AC24" s="124">
        <v>90</v>
      </c>
      <c r="AD24" s="124" t="s">
        <v>606</v>
      </c>
      <c r="AE24" s="124">
        <v>15000</v>
      </c>
      <c r="AF24" s="124">
        <v>15153</v>
      </c>
      <c r="AG24" s="124">
        <v>6839.1</v>
      </c>
      <c r="AH24" s="124"/>
      <c r="AI24" s="124">
        <v>8314.1</v>
      </c>
      <c r="AJ24" s="124"/>
      <c r="AK24" s="124"/>
      <c r="AL24" s="124"/>
      <c r="AM24" s="124"/>
      <c r="AN24" s="124">
        <v>6666.7</v>
      </c>
      <c r="AO24" s="124"/>
      <c r="AP24" s="124"/>
      <c r="AQ24" s="124">
        <v>1527.8</v>
      </c>
      <c r="AR24" s="124"/>
      <c r="AS24" s="124"/>
      <c r="AT24" s="124"/>
      <c r="AU24" s="124"/>
      <c r="AV24" s="124"/>
      <c r="AW24" s="124"/>
      <c r="AX24" s="124">
        <v>1375</v>
      </c>
      <c r="AY24" s="124"/>
      <c r="AZ24" s="124">
        <v>769</v>
      </c>
      <c r="BA24" s="124">
        <v>759.1</v>
      </c>
      <c r="BB24" s="124"/>
      <c r="BC24" s="124"/>
      <c r="BD24" s="124">
        <v>73</v>
      </c>
      <c r="BE24" s="124"/>
      <c r="BF24" s="124">
        <v>53.1</v>
      </c>
      <c r="BG24" s="124"/>
      <c r="BH24" s="129">
        <v>8.1999999999999993</v>
      </c>
      <c r="BI24" s="124">
        <v>8.1999999999999993</v>
      </c>
    </row>
    <row r="25" spans="1:61">
      <c r="B25" s="34" t="s">
        <v>562</v>
      </c>
      <c r="C25">
        <f>IF(G5=0,(AZ5-BA5)+5+(AZ5-0.975*AZ5),((AZ5-BA5)*1.5)+5+(AZ5-0.975*AZ5))</f>
        <v>31.024999999999977</v>
      </c>
      <c r="F25" s="133" t="s">
        <v>608</v>
      </c>
      <c r="G25" s="134">
        <v>3.5</v>
      </c>
      <c r="H25" s="134" t="s">
        <v>65</v>
      </c>
      <c r="I25" s="134">
        <v>16</v>
      </c>
      <c r="J25" s="134">
        <v>6</v>
      </c>
      <c r="K25" s="134">
        <v>2</v>
      </c>
      <c r="L25" s="134">
        <v>426</v>
      </c>
      <c r="M25" s="134">
        <v>54</v>
      </c>
      <c r="N25" s="135">
        <v>24</v>
      </c>
      <c r="O25" s="135">
        <v>8</v>
      </c>
      <c r="P25" s="134">
        <v>10.5</v>
      </c>
      <c r="Q25" s="134">
        <v>59</v>
      </c>
      <c r="R25" s="134"/>
      <c r="S25" s="136">
        <v>33.299999999999997</v>
      </c>
      <c r="T25" s="136">
        <f t="shared" si="9"/>
        <v>339.65999999999997</v>
      </c>
      <c r="U25" s="126">
        <f>IF(H25="Max",S25/21000*110*$R$376,S25/19030*71*$R$376)</f>
        <v>0</v>
      </c>
      <c r="V25" s="137">
        <f t="shared" si="10"/>
        <v>0</v>
      </c>
      <c r="W25" s="137">
        <v>0.33</v>
      </c>
      <c r="X25" s="138">
        <f t="shared" si="11"/>
        <v>165.2706</v>
      </c>
      <c r="Y25" s="136">
        <v>22.2</v>
      </c>
      <c r="Z25" s="136">
        <f t="shared" si="12"/>
        <v>0</v>
      </c>
      <c r="AA25" s="139"/>
      <c r="AB25" s="135">
        <v>45</v>
      </c>
      <c r="AC25" s="135">
        <v>90</v>
      </c>
      <c r="AD25" s="135" t="s">
        <v>606</v>
      </c>
      <c r="AE25" s="135">
        <v>15094</v>
      </c>
      <c r="AF25" s="135">
        <v>15323</v>
      </c>
      <c r="AG25" s="135">
        <v>6915.7</v>
      </c>
      <c r="AH25" s="135"/>
      <c r="AI25" s="135">
        <v>8408</v>
      </c>
      <c r="AJ25" s="135"/>
      <c r="AK25" s="135"/>
      <c r="AL25" s="135"/>
      <c r="AM25" s="135"/>
      <c r="AN25" s="135">
        <v>6666.7</v>
      </c>
      <c r="AO25" s="135"/>
      <c r="AP25" s="135"/>
      <c r="AQ25" s="135">
        <v>2291.6999999999998</v>
      </c>
      <c r="AR25" s="135"/>
      <c r="AS25" s="135"/>
      <c r="AT25" s="135"/>
      <c r="AU25" s="135"/>
      <c r="AV25" s="135"/>
      <c r="AW25" s="135"/>
      <c r="AX25" s="135">
        <v>2062.5</v>
      </c>
      <c r="AY25" s="135"/>
      <c r="AZ25" s="135">
        <v>780.3</v>
      </c>
      <c r="BA25" s="135">
        <v>770.2</v>
      </c>
      <c r="BB25" s="135"/>
      <c r="BC25" s="135"/>
      <c r="BD25" s="135">
        <v>109.4</v>
      </c>
      <c r="BE25" s="135"/>
      <c r="BF25" s="135">
        <v>74.5</v>
      </c>
      <c r="BG25" s="135"/>
      <c r="BH25" s="140">
        <v>8.3000000000000007</v>
      </c>
      <c r="BI25" s="135">
        <v>12.4</v>
      </c>
    </row>
    <row r="26" spans="1:61">
      <c r="B26" s="34" t="s">
        <v>574</v>
      </c>
      <c r="C26">
        <f>J5</f>
        <v>7</v>
      </c>
      <c r="F26" s="4" t="s">
        <v>608</v>
      </c>
      <c r="G26" s="123">
        <v>3.5</v>
      </c>
      <c r="H26" s="123" t="s">
        <v>65</v>
      </c>
      <c r="I26" s="123">
        <v>15</v>
      </c>
      <c r="J26" s="123">
        <v>6</v>
      </c>
      <c r="K26" s="123">
        <v>2</v>
      </c>
      <c r="L26" s="123">
        <v>426</v>
      </c>
      <c r="M26" s="123">
        <v>54</v>
      </c>
      <c r="N26" s="124">
        <v>24</v>
      </c>
      <c r="O26" s="124">
        <v>8</v>
      </c>
      <c r="P26" s="123">
        <v>10.5</v>
      </c>
      <c r="Q26" s="123">
        <v>88.3</v>
      </c>
      <c r="R26" s="123"/>
      <c r="S26" s="125">
        <v>49.8</v>
      </c>
      <c r="T26" s="125">
        <f t="shared" si="9"/>
        <v>507.95999999999992</v>
      </c>
      <c r="U26" s="126">
        <f t="shared" ref="U26" si="14">IF(H26="Max",S26/21000*110*$R$376,S26/19030*71*$R$376)</f>
        <v>0</v>
      </c>
      <c r="V26" s="126">
        <f t="shared" si="10"/>
        <v>0</v>
      </c>
      <c r="W26" s="126">
        <v>0.46</v>
      </c>
      <c r="X26" s="127">
        <f t="shared" si="11"/>
        <v>230.37720000000002</v>
      </c>
      <c r="Y26" s="125">
        <v>33.299999999999997</v>
      </c>
      <c r="Z26" s="125">
        <f t="shared" si="12"/>
        <v>0</v>
      </c>
      <c r="AA26" s="128"/>
      <c r="AB26" s="124">
        <v>45</v>
      </c>
      <c r="AC26" s="124">
        <v>90</v>
      </c>
      <c r="AD26" s="124" t="s">
        <v>606</v>
      </c>
      <c r="AE26" s="124">
        <v>14941</v>
      </c>
      <c r="AF26" s="124">
        <v>15045</v>
      </c>
      <c r="AG26" s="124">
        <v>6790.3</v>
      </c>
      <c r="AH26" s="124"/>
      <c r="AI26" s="124">
        <v>8255.2000000000007</v>
      </c>
      <c r="AJ26" s="124"/>
      <c r="AK26" s="124"/>
      <c r="AL26" s="124"/>
      <c r="AM26" s="124"/>
      <c r="AN26" s="124">
        <v>6666.7</v>
      </c>
      <c r="AO26" s="124"/>
      <c r="AP26" s="124"/>
      <c r="AQ26" s="124">
        <v>1041.7</v>
      </c>
      <c r="AR26" s="124"/>
      <c r="AS26" s="124"/>
      <c r="AT26" s="124"/>
      <c r="AU26" s="124"/>
      <c r="AV26" s="124"/>
      <c r="AW26" s="124"/>
      <c r="AX26" s="124">
        <v>937.5</v>
      </c>
      <c r="AY26" s="124"/>
      <c r="AZ26" s="124">
        <v>788</v>
      </c>
      <c r="BA26" s="124">
        <v>778.1</v>
      </c>
      <c r="BB26" s="124"/>
      <c r="BC26" s="124"/>
      <c r="BD26" s="124">
        <v>55.5</v>
      </c>
      <c r="BE26" s="124"/>
      <c r="BF26" s="124">
        <v>42.8</v>
      </c>
      <c r="BG26" s="124"/>
      <c r="BH26" s="75">
        <v>8.1999999999999993</v>
      </c>
      <c r="BI26" s="124">
        <v>5.6</v>
      </c>
    </row>
    <row r="27" spans="1:61">
      <c r="B27" s="34" t="s">
        <v>575</v>
      </c>
      <c r="C27" s="44">
        <f>C24/C26</f>
        <v>1187.7142857142858</v>
      </c>
      <c r="F27" s="133" t="s">
        <v>608</v>
      </c>
      <c r="G27" s="134">
        <v>3.5</v>
      </c>
      <c r="H27" s="134" t="s">
        <v>65</v>
      </c>
      <c r="I27" s="134">
        <v>14</v>
      </c>
      <c r="J27" s="134">
        <v>6</v>
      </c>
      <c r="K27" s="134">
        <v>2</v>
      </c>
      <c r="L27" s="134">
        <v>426</v>
      </c>
      <c r="M27" s="134">
        <v>54</v>
      </c>
      <c r="N27" s="135">
        <v>24</v>
      </c>
      <c r="O27" s="135">
        <v>8</v>
      </c>
      <c r="P27" s="134">
        <v>10.5</v>
      </c>
      <c r="Q27" s="134">
        <v>60.5</v>
      </c>
      <c r="R27" s="134"/>
      <c r="S27" s="136">
        <v>34.1</v>
      </c>
      <c r="T27" s="136">
        <f t="shared" si="9"/>
        <v>347.82</v>
      </c>
      <c r="U27" s="126">
        <f>IF(H27="Max",S27/21000*110*$R$376,S27/19030*71*$R$376)</f>
        <v>0</v>
      </c>
      <c r="V27" s="137">
        <f t="shared" si="10"/>
        <v>0</v>
      </c>
      <c r="W27" s="137">
        <v>0.33</v>
      </c>
      <c r="X27" s="138">
        <f t="shared" si="11"/>
        <v>165.2706</v>
      </c>
      <c r="Y27" s="136">
        <v>22.8</v>
      </c>
      <c r="Z27" s="136">
        <f t="shared" si="12"/>
        <v>0</v>
      </c>
      <c r="AA27" s="139"/>
      <c r="AB27" s="135">
        <v>45</v>
      </c>
      <c r="AC27" s="135">
        <v>90</v>
      </c>
      <c r="AD27" s="135" t="s">
        <v>606</v>
      </c>
      <c r="AE27" s="135">
        <v>15060</v>
      </c>
      <c r="AF27" s="135">
        <v>15261</v>
      </c>
      <c r="AG27" s="135">
        <v>6888</v>
      </c>
      <c r="AH27" s="135"/>
      <c r="AI27" s="135">
        <v>8374</v>
      </c>
      <c r="AJ27" s="135"/>
      <c r="AK27" s="135"/>
      <c r="AL27" s="135"/>
      <c r="AM27" s="135"/>
      <c r="AN27" s="135">
        <v>6666.7</v>
      </c>
      <c r="AO27" s="135"/>
      <c r="AP27" s="135"/>
      <c r="AQ27" s="135">
        <v>2013.9</v>
      </c>
      <c r="AR27" s="135"/>
      <c r="AS27" s="135"/>
      <c r="AT27" s="135"/>
      <c r="AU27" s="135"/>
      <c r="AV27" s="135"/>
      <c r="AW27" s="135"/>
      <c r="AX27" s="135">
        <v>1812.5</v>
      </c>
      <c r="AY27" s="135"/>
      <c r="AZ27" s="135">
        <v>795.4</v>
      </c>
      <c r="BA27" s="135">
        <v>785.3</v>
      </c>
      <c r="BB27" s="135"/>
      <c r="BC27" s="135"/>
      <c r="BD27" s="135">
        <v>100.9</v>
      </c>
      <c r="BE27" s="135"/>
      <c r="BF27" s="135">
        <v>71.099999999999994</v>
      </c>
      <c r="BG27" s="135"/>
      <c r="BH27" s="140">
        <v>8.3000000000000007</v>
      </c>
      <c r="BI27" s="135">
        <v>10.9</v>
      </c>
    </row>
    <row r="28" spans="1:61">
      <c r="B28" s="34" t="s">
        <v>564</v>
      </c>
      <c r="C28" s="107">
        <v>0.8</v>
      </c>
      <c r="D28" s="34" t="s">
        <v>46</v>
      </c>
      <c r="F28" s="4" t="s">
        <v>608</v>
      </c>
      <c r="G28" s="123">
        <v>3.5</v>
      </c>
      <c r="H28" s="123" t="s">
        <v>65</v>
      </c>
      <c r="I28" s="123">
        <v>13</v>
      </c>
      <c r="J28" s="123">
        <v>6</v>
      </c>
      <c r="K28" s="123">
        <v>2</v>
      </c>
      <c r="L28" s="123">
        <v>426</v>
      </c>
      <c r="M28" s="123">
        <v>54</v>
      </c>
      <c r="N28" s="124">
        <v>24</v>
      </c>
      <c r="O28" s="124">
        <v>8</v>
      </c>
      <c r="P28" s="123">
        <v>10.5</v>
      </c>
      <c r="Q28" s="123">
        <v>91.2</v>
      </c>
      <c r="R28" s="123"/>
      <c r="S28" s="125">
        <v>51.5</v>
      </c>
      <c r="T28" s="125">
        <f t="shared" si="9"/>
        <v>525.29999999999995</v>
      </c>
      <c r="U28" s="126">
        <f t="shared" ref="U28" si="15">IF(H28="Max",S28/21000*110*$R$376,S28/19030*71*$R$376)</f>
        <v>0</v>
      </c>
      <c r="V28" s="126">
        <f t="shared" si="10"/>
        <v>0</v>
      </c>
      <c r="W28" s="126">
        <v>0.46</v>
      </c>
      <c r="X28" s="127">
        <f t="shared" si="11"/>
        <v>230.37720000000002</v>
      </c>
      <c r="Y28" s="125">
        <v>34.4</v>
      </c>
      <c r="Z28" s="125">
        <f t="shared" si="12"/>
        <v>0</v>
      </c>
      <c r="AA28" s="128"/>
      <c r="AB28" s="124">
        <v>45</v>
      </c>
      <c r="AC28" s="124">
        <v>90</v>
      </c>
      <c r="AD28" s="124" t="s">
        <v>606</v>
      </c>
      <c r="AE28" s="124">
        <v>14907</v>
      </c>
      <c r="AF28" s="124">
        <v>14983</v>
      </c>
      <c r="AG28" s="124">
        <v>6762.5</v>
      </c>
      <c r="AH28" s="124"/>
      <c r="AI28" s="124">
        <v>8221.2999999999993</v>
      </c>
      <c r="AJ28" s="124"/>
      <c r="AK28" s="124"/>
      <c r="AL28" s="124"/>
      <c r="AM28" s="124"/>
      <c r="AN28" s="124">
        <v>6666.7</v>
      </c>
      <c r="AO28" s="124"/>
      <c r="AP28" s="124"/>
      <c r="AQ28" s="124">
        <v>763.9</v>
      </c>
      <c r="AR28" s="124"/>
      <c r="AS28" s="124"/>
      <c r="AT28" s="124"/>
      <c r="AU28" s="124"/>
      <c r="AV28" s="124"/>
      <c r="AW28" s="124"/>
      <c r="AX28" s="124">
        <v>687.5</v>
      </c>
      <c r="AY28" s="124"/>
      <c r="AZ28" s="124">
        <v>804.4</v>
      </c>
      <c r="BA28" s="124">
        <v>794.5</v>
      </c>
      <c r="BB28" s="124"/>
      <c r="BC28" s="124"/>
      <c r="BD28" s="124">
        <v>44.3</v>
      </c>
      <c r="BE28" s="124"/>
      <c r="BF28" s="124">
        <v>35.200000000000003</v>
      </c>
      <c r="BG28" s="124"/>
      <c r="BH28" s="141">
        <v>8.1</v>
      </c>
      <c r="BI28" s="124">
        <v>4.0999999999999996</v>
      </c>
    </row>
    <row r="29" spans="1:61">
      <c r="B29" s="34" t="s">
        <v>565</v>
      </c>
      <c r="C29" s="34">
        <v>0.94199999999999995</v>
      </c>
      <c r="D29" s="34" t="s">
        <v>46</v>
      </c>
      <c r="E29" s="34" t="s">
        <v>46</v>
      </c>
      <c r="F29" s="4" t="s">
        <v>608</v>
      </c>
      <c r="G29" s="123">
        <v>3.5</v>
      </c>
      <c r="H29" s="123" t="s">
        <v>65</v>
      </c>
      <c r="I29" s="123">
        <v>12</v>
      </c>
      <c r="J29" s="123">
        <v>6</v>
      </c>
      <c r="K29" s="123">
        <v>2</v>
      </c>
      <c r="L29" s="123">
        <v>426</v>
      </c>
      <c r="M29" s="123">
        <v>54</v>
      </c>
      <c r="N29" s="124">
        <v>24</v>
      </c>
      <c r="O29" s="124">
        <v>8</v>
      </c>
      <c r="P29" s="123">
        <v>10.5</v>
      </c>
      <c r="Q29" s="123">
        <v>61.9</v>
      </c>
      <c r="R29" s="123"/>
      <c r="S29" s="125">
        <v>34.9</v>
      </c>
      <c r="T29" s="125">
        <f t="shared" si="9"/>
        <v>355.97999999999996</v>
      </c>
      <c r="U29" s="126">
        <f>IF(H29="Max",S29/21000*110*$R$376,S29/19030*71*$R$376)</f>
        <v>0</v>
      </c>
      <c r="V29" s="126">
        <f t="shared" si="10"/>
        <v>0</v>
      </c>
      <c r="W29" s="126">
        <v>0.32</v>
      </c>
      <c r="X29" s="126">
        <f t="shared" si="11"/>
        <v>160.26240000000001</v>
      </c>
      <c r="Y29" s="125">
        <v>23.3</v>
      </c>
      <c r="Z29" s="131">
        <f t="shared" si="12"/>
        <v>0</v>
      </c>
      <c r="AA29" s="128"/>
      <c r="AB29" s="124">
        <v>45</v>
      </c>
      <c r="AC29" s="124">
        <v>90</v>
      </c>
      <c r="AD29" s="124" t="s">
        <v>606</v>
      </c>
      <c r="AE29" s="124">
        <v>15026</v>
      </c>
      <c r="AF29" s="124">
        <v>15199</v>
      </c>
      <c r="AG29" s="124">
        <v>6860</v>
      </c>
      <c r="AH29" s="124"/>
      <c r="AI29" s="124">
        <v>8340</v>
      </c>
      <c r="AJ29" s="124"/>
      <c r="AK29" s="124"/>
      <c r="AL29" s="124"/>
      <c r="AM29" s="124"/>
      <c r="AN29" s="124">
        <v>6666.7</v>
      </c>
      <c r="AO29" s="124"/>
      <c r="AP29" s="124"/>
      <c r="AQ29" s="124">
        <v>1736.1</v>
      </c>
      <c r="AR29" s="124"/>
      <c r="AS29" s="124"/>
      <c r="AT29" s="124"/>
      <c r="AU29" s="124"/>
      <c r="AV29" s="124"/>
      <c r="AW29" s="124"/>
      <c r="AX29" s="124">
        <v>1562.5</v>
      </c>
      <c r="AY29" s="124"/>
      <c r="AZ29" s="124">
        <v>814</v>
      </c>
      <c r="BA29" s="124">
        <v>803.8</v>
      </c>
      <c r="BB29" s="124"/>
      <c r="BC29" s="124"/>
      <c r="BD29" s="124">
        <v>91.6</v>
      </c>
      <c r="BE29" s="124"/>
      <c r="BF29" s="124">
        <v>66.599999999999994</v>
      </c>
      <c r="BG29" s="124"/>
      <c r="BH29" s="129">
        <v>8.1999999999999993</v>
      </c>
      <c r="BI29" s="124">
        <v>9.4</v>
      </c>
    </row>
    <row r="30" spans="1:61">
      <c r="B30" s="34" t="s">
        <v>567</v>
      </c>
      <c r="C30" s="44">
        <f>C26*C25*C27*0.000434/C28/C29/C4</f>
        <v>153.14362250202453</v>
      </c>
      <c r="D30" s="34" t="s">
        <v>46</v>
      </c>
      <c r="E30" s="63" t="s">
        <v>46</v>
      </c>
      <c r="F30" s="4" t="s">
        <v>608</v>
      </c>
      <c r="G30" s="123">
        <v>3.5</v>
      </c>
      <c r="H30" s="123" t="s">
        <v>65</v>
      </c>
      <c r="I30" s="123">
        <v>10</v>
      </c>
      <c r="J30" s="123">
        <v>6</v>
      </c>
      <c r="K30" s="123">
        <v>2</v>
      </c>
      <c r="L30" s="123">
        <v>426</v>
      </c>
      <c r="M30" s="123">
        <v>54</v>
      </c>
      <c r="N30" s="124">
        <v>24</v>
      </c>
      <c r="O30" s="124">
        <v>8</v>
      </c>
      <c r="P30" s="123">
        <v>10.5</v>
      </c>
      <c r="Q30" s="123">
        <v>61.8</v>
      </c>
      <c r="R30" s="123"/>
      <c r="S30" s="125">
        <v>34.9</v>
      </c>
      <c r="T30" s="125">
        <f t="shared" si="9"/>
        <v>355.97999999999996</v>
      </c>
      <c r="U30" s="126">
        <f>IF(H30="Max",S30/21000*110*$R$376,S30/19030*71*$R$376)</f>
        <v>0</v>
      </c>
      <c r="V30" s="126">
        <f t="shared" si="10"/>
        <v>0</v>
      </c>
      <c r="W30" s="126">
        <v>0.31</v>
      </c>
      <c r="X30" s="126">
        <f t="shared" si="11"/>
        <v>155.2542</v>
      </c>
      <c r="Y30" s="125">
        <v>23.3</v>
      </c>
      <c r="Z30" s="131">
        <f t="shared" si="12"/>
        <v>0</v>
      </c>
      <c r="AA30" s="128"/>
      <c r="AB30" s="124">
        <v>45</v>
      </c>
      <c r="AC30" s="124">
        <v>90</v>
      </c>
      <c r="AD30" s="124" t="s">
        <v>606</v>
      </c>
      <c r="AE30" s="124">
        <v>15000</v>
      </c>
      <c r="AF30" s="124">
        <v>15153</v>
      </c>
      <c r="AG30" s="124">
        <v>6839.1</v>
      </c>
      <c r="AH30" s="124"/>
      <c r="AI30" s="124">
        <v>8314.4</v>
      </c>
      <c r="AJ30" s="124"/>
      <c r="AK30" s="124"/>
      <c r="AL30" s="124"/>
      <c r="AM30" s="124"/>
      <c r="AN30" s="124">
        <v>6666.7</v>
      </c>
      <c r="AO30" s="124"/>
      <c r="AP30" s="124"/>
      <c r="AQ30" s="124">
        <v>1527.8</v>
      </c>
      <c r="AR30" s="124"/>
      <c r="AS30" s="124"/>
      <c r="AT30" s="124"/>
      <c r="AU30" s="124"/>
      <c r="AV30" s="124"/>
      <c r="AW30" s="124"/>
      <c r="AX30" s="124">
        <v>1375</v>
      </c>
      <c r="AY30" s="124"/>
      <c r="AZ30" s="124">
        <v>836.6</v>
      </c>
      <c r="BA30" s="124">
        <v>826.5</v>
      </c>
      <c r="BB30" s="124"/>
      <c r="BC30" s="124"/>
      <c r="BD30" s="124">
        <v>84.8</v>
      </c>
      <c r="BE30" s="124"/>
      <c r="BF30" s="124">
        <v>63.3</v>
      </c>
      <c r="BG30" s="124"/>
      <c r="BH30" s="129">
        <v>8.1999999999999993</v>
      </c>
      <c r="BI30" s="124">
        <v>8.1999999999999993</v>
      </c>
    </row>
    <row r="31" spans="1:61">
      <c r="B31" s="34" t="s">
        <v>570</v>
      </c>
      <c r="C31" s="43">
        <f>C30*24/AN5/1440*1000</f>
        <v>0.3828571419693515</v>
      </c>
      <c r="F31" s="4" t="s">
        <v>608</v>
      </c>
      <c r="G31" s="123">
        <v>3.5</v>
      </c>
      <c r="H31" s="123" t="s">
        <v>65</v>
      </c>
      <c r="I31" s="123">
        <v>8</v>
      </c>
      <c r="J31" s="123">
        <v>6</v>
      </c>
      <c r="K31" s="123">
        <v>2</v>
      </c>
      <c r="L31" s="123">
        <v>426</v>
      </c>
      <c r="M31" s="123">
        <v>54</v>
      </c>
      <c r="N31" s="124">
        <v>24</v>
      </c>
      <c r="O31" s="124">
        <v>8</v>
      </c>
      <c r="P31" s="123">
        <v>10.5</v>
      </c>
      <c r="Q31" s="123">
        <v>62.4</v>
      </c>
      <c r="R31" s="123"/>
      <c r="S31" s="125">
        <v>35.200000000000003</v>
      </c>
      <c r="T31" s="125">
        <f t="shared" si="9"/>
        <v>359.04</v>
      </c>
      <c r="U31" s="126">
        <f>IF(H31="Max",S31/21000*110*$R$376,S31/19030*71*$R$376)</f>
        <v>0</v>
      </c>
      <c r="V31" s="126">
        <f t="shared" si="10"/>
        <v>0</v>
      </c>
      <c r="W31" s="126">
        <v>0.3</v>
      </c>
      <c r="X31" s="126">
        <f t="shared" si="11"/>
        <v>150.24599999999998</v>
      </c>
      <c r="Y31" s="125">
        <v>23.4</v>
      </c>
      <c r="Z31" s="131">
        <f t="shared" si="12"/>
        <v>0</v>
      </c>
      <c r="AA31" s="128"/>
      <c r="AB31" s="124">
        <v>45</v>
      </c>
      <c r="AC31" s="124">
        <v>90</v>
      </c>
      <c r="AD31" s="124" t="s">
        <v>606</v>
      </c>
      <c r="AE31" s="124">
        <v>14966</v>
      </c>
      <c r="AF31" s="124">
        <v>15091</v>
      </c>
      <c r="AG31" s="124">
        <v>6811.2</v>
      </c>
      <c r="AH31" s="124"/>
      <c r="AI31" s="124">
        <v>8280.6</v>
      </c>
      <c r="AJ31" s="124"/>
      <c r="AK31" s="124"/>
      <c r="AL31" s="124"/>
      <c r="AM31" s="124"/>
      <c r="AN31" s="124">
        <v>6666.7</v>
      </c>
      <c r="AO31" s="124"/>
      <c r="AP31" s="124"/>
      <c r="AQ31" s="124">
        <v>1250</v>
      </c>
      <c r="AR31" s="124"/>
      <c r="AS31" s="124"/>
      <c r="AT31" s="124"/>
      <c r="AU31" s="124"/>
      <c r="AV31" s="124"/>
      <c r="AW31" s="124"/>
      <c r="AX31" s="124">
        <v>1125</v>
      </c>
      <c r="AY31" s="124"/>
      <c r="AZ31" s="124">
        <v>864.1</v>
      </c>
      <c r="BA31" s="124">
        <v>854</v>
      </c>
      <c r="BB31" s="124"/>
      <c r="BC31" s="124"/>
      <c r="BD31" s="124">
        <v>73.5</v>
      </c>
      <c r="BE31" s="124"/>
      <c r="BF31" s="124">
        <v>56.5</v>
      </c>
      <c r="BG31" s="124"/>
      <c r="BH31" s="129">
        <v>8.1999999999999993</v>
      </c>
      <c r="BI31" s="124">
        <v>6.7</v>
      </c>
    </row>
    <row r="32" spans="1:61">
      <c r="F32" s="4"/>
      <c r="G32" s="123"/>
      <c r="H32" s="123"/>
      <c r="I32" s="123"/>
      <c r="J32" s="123"/>
      <c r="K32" s="123"/>
      <c r="L32" s="123"/>
      <c r="M32" s="123"/>
      <c r="N32" s="124"/>
      <c r="O32" s="124"/>
      <c r="P32" s="123"/>
      <c r="Q32" s="123"/>
      <c r="R32" s="123"/>
      <c r="S32" s="125"/>
      <c r="T32" s="125"/>
      <c r="U32" s="126"/>
      <c r="V32" s="126"/>
      <c r="W32" s="126"/>
      <c r="X32" s="126"/>
      <c r="Y32" s="125"/>
      <c r="Z32" s="131"/>
      <c r="AA32" s="128"/>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9"/>
      <c r="BI32" s="124"/>
    </row>
    <row r="33" spans="1:61">
      <c r="A33" s="34" t="s">
        <v>576</v>
      </c>
      <c r="B33" s="34" t="s">
        <v>561</v>
      </c>
      <c r="C33">
        <f>AQ5</f>
        <v>1528</v>
      </c>
      <c r="F33" s="4" t="s">
        <v>608</v>
      </c>
      <c r="G33" s="123">
        <v>5</v>
      </c>
      <c r="H33" s="123">
        <v>33.6</v>
      </c>
      <c r="I33" s="123">
        <v>12</v>
      </c>
      <c r="J33" s="123">
        <v>6</v>
      </c>
      <c r="K33" s="123">
        <v>2</v>
      </c>
      <c r="L33" s="123">
        <v>426</v>
      </c>
      <c r="M33" s="123">
        <v>54</v>
      </c>
      <c r="N33" s="124">
        <v>24</v>
      </c>
      <c r="O33" s="124">
        <v>8</v>
      </c>
      <c r="P33" s="123">
        <v>10.5</v>
      </c>
      <c r="Q33" s="123">
        <v>62.1</v>
      </c>
      <c r="R33" s="123"/>
      <c r="S33" s="125">
        <v>35</v>
      </c>
      <c r="T33" s="125">
        <f t="shared" ref="T33" si="16">IF(G33=0,$P$10*S33,$P$11*S33)</f>
        <v>357</v>
      </c>
      <c r="U33" s="126">
        <f>IF(H33="Max",S33/21000*110*$R$376,S33/19030*71*$R$376)</f>
        <v>0</v>
      </c>
      <c r="V33" s="126">
        <f t="shared" ref="V33" si="17">IF(G33=0,$R$10*U33,$R$11*U33)</f>
        <v>0</v>
      </c>
      <c r="W33" s="126">
        <v>0.32</v>
      </c>
      <c r="X33" s="126">
        <f>IF(G33=0,$T$10*W33,$T$11*W33)</f>
        <v>160.26240000000001</v>
      </c>
      <c r="Y33" s="125">
        <v>23.4</v>
      </c>
      <c r="Z33" s="131">
        <f>IF(G33=0,$V$10*Y33,$V$11*Y33)</f>
        <v>0</v>
      </c>
      <c r="AA33" s="128"/>
      <c r="AB33" s="124">
        <v>45</v>
      </c>
      <c r="AC33" s="124">
        <v>90</v>
      </c>
      <c r="AD33" s="124" t="s">
        <v>606</v>
      </c>
      <c r="AE33" s="124">
        <v>15022</v>
      </c>
      <c r="AF33" s="124">
        <v>15192</v>
      </c>
      <c r="AG33" s="124">
        <v>6856.5</v>
      </c>
      <c r="AH33" s="124"/>
      <c r="AI33" s="124">
        <v>8335.6</v>
      </c>
      <c r="AJ33" s="124"/>
      <c r="AK33" s="124"/>
      <c r="AL33" s="124"/>
      <c r="AM33" s="124"/>
      <c r="AN33" s="124">
        <v>6666.7</v>
      </c>
      <c r="AO33" s="124"/>
      <c r="AP33" s="124"/>
      <c r="AQ33" s="124">
        <v>1701.4</v>
      </c>
      <c r="AR33" s="124"/>
      <c r="AS33" s="124"/>
      <c r="AT33" s="124"/>
      <c r="AU33" s="124"/>
      <c r="AV33" s="124"/>
      <c r="AW33" s="124"/>
      <c r="AX33" s="124">
        <v>1531.3</v>
      </c>
      <c r="AY33" s="124"/>
      <c r="AZ33" s="124">
        <v>819.7</v>
      </c>
      <c r="BA33" s="124">
        <v>809.5</v>
      </c>
      <c r="BB33" s="124"/>
      <c r="BC33" s="124"/>
      <c r="BD33" s="124">
        <v>92.8</v>
      </c>
      <c r="BE33" s="124"/>
      <c r="BF33" s="124">
        <v>68.3</v>
      </c>
      <c r="BG33" s="124"/>
      <c r="BH33" s="129">
        <v>8.3000000000000007</v>
      </c>
      <c r="BI33" s="124">
        <v>9.1999999999999993</v>
      </c>
    </row>
    <row r="34" spans="1:61">
      <c r="A34" s="34"/>
      <c r="B34" s="34" t="s">
        <v>562</v>
      </c>
      <c r="C34">
        <f>BD5-5+10+1</f>
        <v>82.6</v>
      </c>
      <c r="E34">
        <f>C34*2.3</f>
        <v>189.97999999999996</v>
      </c>
      <c r="F34" s="4" t="s">
        <v>608</v>
      </c>
      <c r="G34" s="123">
        <v>3.5</v>
      </c>
      <c r="H34" s="123">
        <v>33.6</v>
      </c>
      <c r="I34" s="123">
        <v>12</v>
      </c>
      <c r="J34" s="123">
        <v>6</v>
      </c>
      <c r="K34" s="123">
        <v>2</v>
      </c>
      <c r="L34" s="123">
        <v>426</v>
      </c>
      <c r="M34" s="123">
        <v>54</v>
      </c>
      <c r="N34" s="124">
        <v>24</v>
      </c>
      <c r="O34" s="124">
        <v>8</v>
      </c>
      <c r="P34" s="123">
        <v>10.5</v>
      </c>
      <c r="Q34" s="123">
        <v>62.1</v>
      </c>
      <c r="R34" s="123"/>
      <c r="S34" s="125">
        <v>35</v>
      </c>
      <c r="T34" s="125">
        <f t="shared" ref="T34" si="18">IF(G34=0,$P$10*S34,$P$11*S34)</f>
        <v>357</v>
      </c>
      <c r="U34" s="126">
        <f>IF(H34="Max",S34/21000*110*$R$376,S34/19030*71*$R$376)</f>
        <v>0</v>
      </c>
      <c r="V34" s="126">
        <f t="shared" ref="V34" si="19">IF(G34=0,$R$10*U34,$R$11*U34)</f>
        <v>0</v>
      </c>
      <c r="W34" s="126">
        <v>0.32</v>
      </c>
      <c r="X34" s="126">
        <f>IF(G34=0,$T$10*W34,$T$11*W34)</f>
        <v>160.26240000000001</v>
      </c>
      <c r="Y34" s="125">
        <v>23.4</v>
      </c>
      <c r="Z34" s="131">
        <f>IF(G34=0,$V$10*Y34,$V$11*Y34)</f>
        <v>0</v>
      </c>
      <c r="AA34" s="128"/>
      <c r="AB34" s="124">
        <v>45</v>
      </c>
      <c r="AC34" s="124">
        <v>90</v>
      </c>
      <c r="AD34" s="124" t="s">
        <v>606</v>
      </c>
      <c r="AE34" s="124">
        <v>15017</v>
      </c>
      <c r="AF34" s="124">
        <v>15184</v>
      </c>
      <c r="AG34" s="124">
        <v>6853</v>
      </c>
      <c r="AH34" s="124"/>
      <c r="AI34" s="124">
        <v>8331</v>
      </c>
      <c r="AJ34" s="124"/>
      <c r="AK34" s="124"/>
      <c r="AL34" s="124"/>
      <c r="AM34" s="124"/>
      <c r="AN34" s="124">
        <v>6666.7</v>
      </c>
      <c r="AO34" s="124"/>
      <c r="AP34" s="124"/>
      <c r="AQ34" s="124">
        <v>1667</v>
      </c>
      <c r="AR34" s="124"/>
      <c r="AS34" s="124"/>
      <c r="AT34" s="124"/>
      <c r="AU34" s="124"/>
      <c r="AV34" s="124"/>
      <c r="AW34" s="124"/>
      <c r="AX34" s="124">
        <v>1500</v>
      </c>
      <c r="AY34" s="124"/>
      <c r="AZ34" s="124">
        <v>797.6</v>
      </c>
      <c r="BA34" s="124">
        <v>787.5</v>
      </c>
      <c r="BB34" s="124"/>
      <c r="BC34" s="124"/>
      <c r="BD34" s="124">
        <v>87.8</v>
      </c>
      <c r="BE34" s="124"/>
      <c r="BF34" s="124">
        <v>64.099999999999994</v>
      </c>
      <c r="BG34" s="124"/>
      <c r="BH34" s="129">
        <v>8.1999999999999993</v>
      </c>
      <c r="BI34" s="124">
        <v>9</v>
      </c>
    </row>
    <row r="35" spans="1:61">
      <c r="A35" s="34"/>
      <c r="B35" s="34" t="s">
        <v>574</v>
      </c>
      <c r="C35">
        <f>K5</f>
        <v>2</v>
      </c>
      <c r="F35" s="4"/>
      <c r="G35" s="123"/>
      <c r="H35" s="123"/>
      <c r="I35" s="123"/>
      <c r="J35" s="123"/>
      <c r="K35" s="123"/>
      <c r="L35" s="123"/>
      <c r="M35" s="123"/>
      <c r="N35" s="124"/>
      <c r="O35" s="124"/>
      <c r="P35" s="123"/>
      <c r="Q35" s="123"/>
      <c r="R35" s="123"/>
      <c r="S35" s="125"/>
      <c r="T35" s="125"/>
      <c r="U35" s="126" t="s">
        <v>46</v>
      </c>
      <c r="V35" s="126"/>
      <c r="W35" s="126"/>
      <c r="X35" s="126"/>
      <c r="Y35" s="125"/>
      <c r="Z35" s="131"/>
      <c r="AA35" s="128"/>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9"/>
      <c r="BI35" s="124"/>
    </row>
    <row r="36" spans="1:61">
      <c r="A36" s="34"/>
      <c r="B36" s="34" t="s">
        <v>575</v>
      </c>
      <c r="C36" s="44">
        <f>C33/C35</f>
        <v>764</v>
      </c>
      <c r="F36" s="4" t="s">
        <v>608</v>
      </c>
      <c r="G36" s="123">
        <v>0</v>
      </c>
      <c r="H36" s="123" t="s">
        <v>47</v>
      </c>
      <c r="I36" s="123">
        <v>18</v>
      </c>
      <c r="J36" s="142">
        <v>7</v>
      </c>
      <c r="K36" s="123">
        <v>2</v>
      </c>
      <c r="L36" s="123">
        <v>497</v>
      </c>
      <c r="M36" s="123">
        <v>54</v>
      </c>
      <c r="N36" s="124">
        <v>24</v>
      </c>
      <c r="O36" s="124">
        <v>8.3000000000000007</v>
      </c>
      <c r="P36" s="123">
        <v>10.199999999999999</v>
      </c>
      <c r="Q36" s="123"/>
      <c r="R36" s="123"/>
      <c r="S36" s="125">
        <v>56</v>
      </c>
      <c r="T36" s="125">
        <f t="shared" ref="T36:T40" si="20">IF(G36=0,$P$10*S36,$P$11*S36)</f>
        <v>571.19999999999993</v>
      </c>
      <c r="U36" s="126">
        <f>IF(H36="Max",S36/21000*110*$R$376,S36/19030*71*$R$376)</f>
        <v>0</v>
      </c>
      <c r="V36" s="127">
        <f t="shared" ref="V36:V40" si="21">IF(G36=0,$R$10*U36,$R$11*U36)</f>
        <v>0</v>
      </c>
      <c r="W36" s="126">
        <v>0.49</v>
      </c>
      <c r="X36" s="126">
        <f>IF(G36=0,$T$10*W36,$T$11*W36)</f>
        <v>243.40260000000001</v>
      </c>
      <c r="Y36" s="125">
        <v>40.700000000000003</v>
      </c>
      <c r="Z36" s="125">
        <f>IF(G36=0,$V$10*Y36,$V$11*Y36)</f>
        <v>0</v>
      </c>
      <c r="AA36" s="128"/>
      <c r="AB36" s="124">
        <v>45</v>
      </c>
      <c r="AC36" s="124">
        <v>90</v>
      </c>
      <c r="AD36" s="124" t="s">
        <v>607</v>
      </c>
      <c r="AE36" s="124">
        <v>14992</v>
      </c>
      <c r="AF36" s="124">
        <v>15138</v>
      </c>
      <c r="AG36" s="124">
        <v>6832.1</v>
      </c>
      <c r="AH36" s="124"/>
      <c r="AI36" s="124">
        <v>8306</v>
      </c>
      <c r="AJ36" s="124"/>
      <c r="AK36" s="124"/>
      <c r="AL36" s="124"/>
      <c r="AM36" s="124"/>
      <c r="AN36" s="124">
        <v>6666.7</v>
      </c>
      <c r="AO36" s="124"/>
      <c r="AP36" s="124"/>
      <c r="AQ36" s="124">
        <v>1458.3</v>
      </c>
      <c r="AR36" s="124"/>
      <c r="AS36" s="124"/>
      <c r="AT36" s="124"/>
      <c r="AU36" s="124"/>
      <c r="AV36" s="124"/>
      <c r="AW36" s="124"/>
      <c r="AX36" s="124">
        <v>1312.5</v>
      </c>
      <c r="AY36" s="124"/>
      <c r="AZ36" s="124">
        <v>780.6</v>
      </c>
      <c r="BA36" s="124">
        <v>773</v>
      </c>
      <c r="BB36" s="124"/>
      <c r="BC36" s="124"/>
      <c r="BD36" s="124">
        <v>73.3</v>
      </c>
      <c r="BE36" s="124"/>
      <c r="BF36" s="124">
        <v>57.6</v>
      </c>
      <c r="BG36" s="124"/>
      <c r="BH36" s="129">
        <v>7</v>
      </c>
      <c r="BI36" s="124">
        <v>7.9</v>
      </c>
    </row>
    <row r="37" spans="1:61">
      <c r="A37" s="34"/>
      <c r="B37" s="34" t="s">
        <v>564</v>
      </c>
      <c r="C37" s="107">
        <v>0.5</v>
      </c>
      <c r="D37" s="34" t="s">
        <v>46</v>
      </c>
      <c r="F37" s="4" t="s">
        <v>608</v>
      </c>
      <c r="G37" s="123">
        <v>0</v>
      </c>
      <c r="H37" s="123" t="s">
        <v>47</v>
      </c>
      <c r="I37" s="123">
        <v>15</v>
      </c>
      <c r="J37" s="142">
        <v>7</v>
      </c>
      <c r="K37" s="123">
        <v>2</v>
      </c>
      <c r="L37" s="123">
        <v>497</v>
      </c>
      <c r="M37" s="123">
        <v>54</v>
      </c>
      <c r="N37" s="124">
        <v>24</v>
      </c>
      <c r="O37" s="124">
        <v>8.3000000000000007</v>
      </c>
      <c r="P37" s="123">
        <v>10.199999999999999</v>
      </c>
      <c r="Q37" s="123">
        <v>101.5</v>
      </c>
      <c r="R37" s="123"/>
      <c r="S37" s="125">
        <v>57</v>
      </c>
      <c r="T37" s="125">
        <f t="shared" si="20"/>
        <v>581.4</v>
      </c>
      <c r="U37" s="126">
        <f>IF(H37="Max",S37/21000*110*$R$376,S37/19030*71*$R$376)</f>
        <v>0</v>
      </c>
      <c r="V37" s="127">
        <f t="shared" si="21"/>
        <v>0</v>
      </c>
      <c r="W37" s="126">
        <v>0.47</v>
      </c>
      <c r="X37" s="126">
        <f>IF(G37=0,$T$10*W37,$T$11*W37)</f>
        <v>233.46779999999998</v>
      </c>
      <c r="Y37" s="125">
        <v>37.9</v>
      </c>
      <c r="Z37" s="125">
        <f>IF(G37=0,$V$10*Y37,$V$11*Y37)</f>
        <v>0</v>
      </c>
      <c r="AA37" s="128"/>
      <c r="AB37" s="124">
        <v>45</v>
      </c>
      <c r="AC37" s="124">
        <v>90</v>
      </c>
      <c r="AD37" s="124" t="s">
        <v>607</v>
      </c>
      <c r="AE37" s="124">
        <v>14958</v>
      </c>
      <c r="AF37" s="124">
        <v>15076</v>
      </c>
      <c r="AG37" s="124">
        <v>6904</v>
      </c>
      <c r="AH37" s="124"/>
      <c r="AI37" s="124">
        <v>8272</v>
      </c>
      <c r="AJ37" s="124"/>
      <c r="AK37" s="124"/>
      <c r="AL37" s="124"/>
      <c r="AM37" s="124"/>
      <c r="AN37" s="124">
        <v>6666.7</v>
      </c>
      <c r="AO37" s="124"/>
      <c r="AP37" s="124"/>
      <c r="AQ37" s="124">
        <v>1180.5999999999999</v>
      </c>
      <c r="AR37" s="124"/>
      <c r="AS37" s="124"/>
      <c r="AT37" s="124"/>
      <c r="AU37" s="124"/>
      <c r="AV37" s="124"/>
      <c r="AW37" s="124"/>
      <c r="AX37" s="124">
        <v>1063</v>
      </c>
      <c r="AY37" s="124"/>
      <c r="AZ37" s="124">
        <v>793.8</v>
      </c>
      <c r="BA37" s="124">
        <v>786.1</v>
      </c>
      <c r="BB37" s="124"/>
      <c r="BC37" s="124"/>
      <c r="BD37" s="124">
        <v>65.5</v>
      </c>
      <c r="BE37" s="124"/>
      <c r="BF37" s="124">
        <v>50.2</v>
      </c>
      <c r="BG37" s="124"/>
      <c r="BH37" s="129">
        <v>7</v>
      </c>
      <c r="BI37" s="124">
        <v>6.4</v>
      </c>
    </row>
    <row r="38" spans="1:61">
      <c r="A38" s="34"/>
      <c r="B38" s="34" t="s">
        <v>565</v>
      </c>
      <c r="C38" s="34">
        <v>0.96299999999999997</v>
      </c>
      <c r="D38" s="34" t="s">
        <v>46</v>
      </c>
      <c r="E38" s="34" t="s">
        <v>46</v>
      </c>
      <c r="F38" s="4" t="s">
        <v>608</v>
      </c>
      <c r="G38" s="123">
        <v>0</v>
      </c>
      <c r="H38" s="123" t="s">
        <v>47</v>
      </c>
      <c r="I38" s="123">
        <v>12</v>
      </c>
      <c r="J38" s="142">
        <v>7</v>
      </c>
      <c r="K38" s="123">
        <v>2</v>
      </c>
      <c r="L38" s="123">
        <v>497</v>
      </c>
      <c r="M38" s="123">
        <v>54</v>
      </c>
      <c r="N38" s="124">
        <v>24</v>
      </c>
      <c r="O38" s="124">
        <v>8.3000000000000007</v>
      </c>
      <c r="P38" s="123">
        <v>10.199999999999999</v>
      </c>
      <c r="Q38" s="123">
        <v>99.4</v>
      </c>
      <c r="R38" s="123"/>
      <c r="S38" s="125">
        <v>56</v>
      </c>
      <c r="T38" s="125">
        <f t="shared" si="20"/>
        <v>571.19999999999993</v>
      </c>
      <c r="U38" s="126">
        <f>IF(H38="Max",S38/21000*110*$R$376,S38/19030*71*$R$376)</f>
        <v>0</v>
      </c>
      <c r="V38" s="127">
        <f t="shared" si="21"/>
        <v>0</v>
      </c>
      <c r="W38" s="126">
        <v>0.43</v>
      </c>
      <c r="X38" s="126">
        <f>IF(G38=0,$T$10*W38,$T$11*W38)</f>
        <v>213.59819999999999</v>
      </c>
      <c r="Y38" s="125">
        <v>37.200000000000003</v>
      </c>
      <c r="Z38" s="125">
        <f>IF(G38=0,$V$10*Y38,$V$11*Y38)</f>
        <v>0</v>
      </c>
      <c r="AA38" s="128"/>
      <c r="AB38" s="124">
        <v>45</v>
      </c>
      <c r="AC38" s="124">
        <v>90</v>
      </c>
      <c r="AD38" s="124" t="s">
        <v>607</v>
      </c>
      <c r="AE38" s="124">
        <v>14932</v>
      </c>
      <c r="AF38" s="124">
        <v>15030</v>
      </c>
      <c r="AG38" s="124">
        <v>6783.4</v>
      </c>
      <c r="AH38" s="124"/>
      <c r="AI38" s="124">
        <v>8247</v>
      </c>
      <c r="AJ38" s="124"/>
      <c r="AK38" s="124"/>
      <c r="AL38" s="124"/>
      <c r="AM38" s="124"/>
      <c r="AN38" s="124">
        <v>6666.7</v>
      </c>
      <c r="AO38" s="124"/>
      <c r="AP38" s="124"/>
      <c r="AQ38" s="124">
        <v>972</v>
      </c>
      <c r="AR38" s="124"/>
      <c r="AS38" s="124"/>
      <c r="AT38" s="124"/>
      <c r="AU38" s="124"/>
      <c r="AV38" s="124"/>
      <c r="AW38" s="124"/>
      <c r="AX38" s="124">
        <v>875</v>
      </c>
      <c r="AY38" s="124"/>
      <c r="AZ38" s="124">
        <v>809.3</v>
      </c>
      <c r="BA38" s="124">
        <v>801.6</v>
      </c>
      <c r="BB38" s="124"/>
      <c r="BC38" s="124"/>
      <c r="BD38" s="124">
        <v>55.9</v>
      </c>
      <c r="BE38" s="124"/>
      <c r="BF38" s="124">
        <v>44.9</v>
      </c>
      <c r="BG38" s="124"/>
      <c r="BH38" s="129">
        <v>7</v>
      </c>
      <c r="BI38" s="124">
        <v>5.2</v>
      </c>
    </row>
    <row r="39" spans="1:61">
      <c r="A39" s="34"/>
      <c r="B39" s="34" t="s">
        <v>567</v>
      </c>
      <c r="C39" s="44">
        <f>C35*C36*C34*0.000434/C37/C38/C4</f>
        <v>117.28031002772691</v>
      </c>
      <c r="D39" s="34" t="s">
        <v>46</v>
      </c>
      <c r="E39" s="34" t="s">
        <v>600</v>
      </c>
      <c r="F39" s="4" t="s">
        <v>608</v>
      </c>
      <c r="G39" s="123">
        <v>0</v>
      </c>
      <c r="H39" s="123" t="s">
        <v>47</v>
      </c>
      <c r="I39" s="123">
        <v>10</v>
      </c>
      <c r="J39" s="142">
        <v>7</v>
      </c>
      <c r="K39" s="123">
        <v>2</v>
      </c>
      <c r="L39" s="123">
        <v>497</v>
      </c>
      <c r="M39" s="123">
        <v>54</v>
      </c>
      <c r="N39" s="124">
        <v>24</v>
      </c>
      <c r="O39" s="124">
        <v>8.3000000000000007</v>
      </c>
      <c r="P39" s="123">
        <v>10.199999999999999</v>
      </c>
      <c r="Q39" s="123">
        <v>101</v>
      </c>
      <c r="R39" s="123"/>
      <c r="S39" s="125">
        <v>56</v>
      </c>
      <c r="T39" s="125">
        <f t="shared" si="20"/>
        <v>571.19999999999993</v>
      </c>
      <c r="U39" s="126">
        <f>IF(H39="Max",S39/21000*110*$R$376,S39/19030*71*$R$376)</f>
        <v>0</v>
      </c>
      <c r="V39" s="127">
        <f t="shared" si="21"/>
        <v>0</v>
      </c>
      <c r="W39" s="126">
        <v>0.42</v>
      </c>
      <c r="X39" s="126">
        <f>IF(G39=0,$T$10*W39,$T$11*W39)</f>
        <v>208.63079999999999</v>
      </c>
      <c r="Y39" s="125">
        <v>37.6</v>
      </c>
      <c r="Z39" s="125">
        <f>IF(G39=0,$V$10*Y39,$V$11*Y39)</f>
        <v>0</v>
      </c>
      <c r="AA39" s="128"/>
      <c r="AB39" s="124">
        <v>45</v>
      </c>
      <c r="AC39" s="124">
        <v>90</v>
      </c>
      <c r="AD39" s="124" t="s">
        <v>607</v>
      </c>
      <c r="AE39" s="124">
        <v>14907</v>
      </c>
      <c r="AF39" s="124">
        <v>14983</v>
      </c>
      <c r="AG39" s="124">
        <v>6762.5</v>
      </c>
      <c r="AH39" s="124"/>
      <c r="AI39" s="124">
        <v>8221</v>
      </c>
      <c r="AJ39" s="124"/>
      <c r="AK39" s="124"/>
      <c r="AL39" s="124"/>
      <c r="AM39" s="124"/>
      <c r="AN39" s="124">
        <v>6666.7</v>
      </c>
      <c r="AO39" s="124"/>
      <c r="AP39" s="124"/>
      <c r="AQ39" s="124">
        <v>764</v>
      </c>
      <c r="AR39" s="124"/>
      <c r="AS39" s="124"/>
      <c r="AT39" s="124"/>
      <c r="AU39" s="124"/>
      <c r="AV39" s="124"/>
      <c r="AW39" s="124"/>
      <c r="AX39" s="124">
        <v>688</v>
      </c>
      <c r="AY39" s="124"/>
      <c r="AZ39" s="124">
        <v>823.2</v>
      </c>
      <c r="BA39" s="124">
        <v>815.4</v>
      </c>
      <c r="BB39" s="124"/>
      <c r="BC39" s="124"/>
      <c r="BD39" s="124">
        <v>47.8</v>
      </c>
      <c r="BE39" s="124"/>
      <c r="BF39" s="124">
        <v>39.200000000000003</v>
      </c>
      <c r="BG39" s="124"/>
      <c r="BH39" s="129">
        <v>7</v>
      </c>
      <c r="BI39" s="124">
        <v>4.0999999999999996</v>
      </c>
    </row>
    <row r="40" spans="1:61">
      <c r="A40" s="34"/>
      <c r="B40" s="34" t="s">
        <v>570</v>
      </c>
      <c r="C40" s="43">
        <f>C39*24/AN5/1440*1000</f>
        <v>0.29319930907277192</v>
      </c>
      <c r="D40" s="34" t="s">
        <v>613</v>
      </c>
      <c r="E40" s="43">
        <f>C13+C22+C31+C40</f>
        <v>8.072288742129178</v>
      </c>
      <c r="F40" s="4" t="s">
        <v>608</v>
      </c>
      <c r="G40" s="123">
        <v>0</v>
      </c>
      <c r="H40" s="123" t="s">
        <v>47</v>
      </c>
      <c r="I40" s="123">
        <v>8</v>
      </c>
      <c r="J40" s="142">
        <v>7</v>
      </c>
      <c r="K40" s="123">
        <v>2</v>
      </c>
      <c r="L40" s="123">
        <v>497</v>
      </c>
      <c r="M40" s="123">
        <v>54</v>
      </c>
      <c r="N40" s="124">
        <v>24</v>
      </c>
      <c r="O40" s="124">
        <v>8.3000000000000007</v>
      </c>
      <c r="P40" s="123">
        <v>10.199999999999999</v>
      </c>
      <c r="Q40" s="123">
        <v>101</v>
      </c>
      <c r="R40" s="123"/>
      <c r="S40" s="125">
        <v>57</v>
      </c>
      <c r="T40" s="125">
        <f t="shared" si="20"/>
        <v>581.4</v>
      </c>
      <c r="U40" s="126">
        <f>IF(H40="Max",S40/21000*110*$R$376,S40/19030*71*$R$376)</f>
        <v>0</v>
      </c>
      <c r="V40" s="127">
        <f t="shared" si="21"/>
        <v>0</v>
      </c>
      <c r="W40" s="126">
        <v>0.41</v>
      </c>
      <c r="X40" s="126">
        <f>IF(G40=0,$T$10*W40,$T$11*W40)</f>
        <v>203.6634</v>
      </c>
      <c r="Y40" s="125">
        <v>37.9</v>
      </c>
      <c r="Z40" s="125">
        <f>IF(G40=0,$V$10*Y40,$V$11*Y40)</f>
        <v>0</v>
      </c>
      <c r="AA40" s="128"/>
      <c r="AB40" s="124">
        <v>45</v>
      </c>
      <c r="AC40" s="124">
        <v>90</v>
      </c>
      <c r="AD40" s="124" t="s">
        <v>607</v>
      </c>
      <c r="AE40" s="124">
        <v>14881</v>
      </c>
      <c r="AF40" s="124">
        <v>14937</v>
      </c>
      <c r="AG40" s="124">
        <v>6741.6</v>
      </c>
      <c r="AH40" s="124"/>
      <c r="AI40" s="124">
        <v>8196</v>
      </c>
      <c r="AJ40" s="124"/>
      <c r="AK40" s="124"/>
      <c r="AL40" s="124"/>
      <c r="AM40" s="124"/>
      <c r="AN40" s="124">
        <v>6666.7</v>
      </c>
      <c r="AO40" s="124"/>
      <c r="AP40" s="124"/>
      <c r="AQ40" s="124">
        <v>556</v>
      </c>
      <c r="AR40" s="124"/>
      <c r="AS40" s="124"/>
      <c r="AT40" s="124"/>
      <c r="AU40" s="124"/>
      <c r="AV40" s="124"/>
      <c r="AW40" s="124"/>
      <c r="AX40" s="124">
        <v>500</v>
      </c>
      <c r="AY40" s="124"/>
      <c r="AZ40" s="124">
        <v>840.9</v>
      </c>
      <c r="BA40" s="124">
        <v>833</v>
      </c>
      <c r="BB40" s="124"/>
      <c r="BC40" s="124"/>
      <c r="BD40" s="124">
        <v>39.1</v>
      </c>
      <c r="BE40" s="124"/>
      <c r="BF40" s="124">
        <v>32.700000000000003</v>
      </c>
      <c r="BG40" s="124"/>
      <c r="BH40" s="129">
        <v>7</v>
      </c>
      <c r="BI40" s="124">
        <v>3</v>
      </c>
    </row>
    <row r="41" spans="1:61">
      <c r="D41" s="34" t="s">
        <v>56</v>
      </c>
      <c r="E41" s="43">
        <f>E40/3.78</f>
        <v>2.1355261222563966</v>
      </c>
      <c r="F41" s="4"/>
      <c r="G41" s="123"/>
      <c r="H41" s="123"/>
      <c r="I41" s="123"/>
      <c r="J41" s="142"/>
      <c r="K41" s="123"/>
      <c r="L41" s="123"/>
      <c r="M41" s="123"/>
      <c r="N41" s="124"/>
      <c r="O41" s="124"/>
      <c r="P41" s="123"/>
      <c r="Q41" s="123"/>
      <c r="R41" s="123"/>
      <c r="S41" s="125"/>
      <c r="T41" s="125"/>
      <c r="U41" s="126"/>
      <c r="V41" s="127"/>
      <c r="W41" s="126"/>
      <c r="X41" s="126"/>
      <c r="Y41" s="125"/>
      <c r="Z41" s="125"/>
      <c r="AA41" s="128"/>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9"/>
      <c r="BI41" s="124"/>
    </row>
    <row r="42" spans="1:61">
      <c r="A42" s="34" t="s">
        <v>577</v>
      </c>
      <c r="B42" s="34" t="s">
        <v>561</v>
      </c>
      <c r="C42">
        <f>AN5</f>
        <v>6666.7</v>
      </c>
      <c r="F42" s="143" t="s">
        <v>637</v>
      </c>
      <c r="G42" s="123"/>
      <c r="H42" s="123"/>
      <c r="I42" s="123"/>
      <c r="J42" s="142"/>
      <c r="K42" s="123"/>
      <c r="L42" s="123"/>
      <c r="M42" s="123"/>
      <c r="N42" s="124"/>
      <c r="O42" s="124"/>
      <c r="P42" s="123"/>
      <c r="Q42" s="123"/>
      <c r="R42" s="123"/>
      <c r="S42" s="125"/>
      <c r="T42" s="125"/>
      <c r="U42" s="126" t="s">
        <v>46</v>
      </c>
      <c r="V42" s="127"/>
      <c r="W42" s="126"/>
      <c r="X42" s="126"/>
      <c r="Y42" s="125"/>
      <c r="Z42" s="125"/>
      <c r="AA42" s="128"/>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9"/>
      <c r="BI42" s="124"/>
    </row>
    <row r="43" spans="1:61">
      <c r="B43" s="34" t="s">
        <v>562</v>
      </c>
      <c r="C43" s="44">
        <f>305/2.3+2</f>
        <v>134.60869565217394</v>
      </c>
      <c r="F43" s="133" t="s">
        <v>608</v>
      </c>
      <c r="G43" s="134">
        <v>0</v>
      </c>
      <c r="H43" s="134" t="s">
        <v>65</v>
      </c>
      <c r="I43" s="134">
        <v>18</v>
      </c>
      <c r="J43" s="144">
        <v>7</v>
      </c>
      <c r="K43" s="134">
        <v>2</v>
      </c>
      <c r="L43" s="144">
        <v>497</v>
      </c>
      <c r="M43" s="134">
        <v>54</v>
      </c>
      <c r="N43" s="135">
        <v>24</v>
      </c>
      <c r="O43" s="135">
        <v>8</v>
      </c>
      <c r="P43" s="134">
        <v>10.5</v>
      </c>
      <c r="Q43" s="134">
        <v>65</v>
      </c>
      <c r="R43" s="134"/>
      <c r="S43" s="136">
        <v>36.4</v>
      </c>
      <c r="T43" s="136">
        <f t="shared" ref="T43:T52" si="22">IF(G43=0,$P$10*S43,$P$11*S43)</f>
        <v>371.28</v>
      </c>
      <c r="U43" s="126">
        <f t="shared" ref="U43:U51" si="23">IF(H43="Max",S43/21000*110*$R$376,S43/19030*71*$R$376)</f>
        <v>0</v>
      </c>
      <c r="V43" s="137">
        <f t="shared" ref="V43:V48" si="24">IF(G43=0,$R$10*U43,$R$11*U43)</f>
        <v>0</v>
      </c>
      <c r="W43" s="137">
        <v>0.38</v>
      </c>
      <c r="X43" s="138">
        <f t="shared" ref="X43:X52" si="25">IF(G43=0,$T$10*W43,$T$11*W43)</f>
        <v>188.7612</v>
      </c>
      <c r="Y43" s="136">
        <v>24.3</v>
      </c>
      <c r="Z43" s="136">
        <f t="shared" ref="Z43:Z52" si="26">IF(G43=0,$V$10*Y43,$V$11*Y43)</f>
        <v>0</v>
      </c>
      <c r="AA43" s="139"/>
      <c r="AB43" s="135">
        <v>45</v>
      </c>
      <c r="AC43" s="135">
        <v>90</v>
      </c>
      <c r="AD43" s="135" t="s">
        <v>607</v>
      </c>
      <c r="AE43" s="135">
        <v>15102</v>
      </c>
      <c r="AF43" s="135">
        <v>15338</v>
      </c>
      <c r="AG43" s="135">
        <v>6922.7</v>
      </c>
      <c r="AH43" s="135"/>
      <c r="AI43" s="135">
        <v>8416</v>
      </c>
      <c r="AJ43" s="135"/>
      <c r="AK43" s="135"/>
      <c r="AL43" s="135"/>
      <c r="AM43" s="135"/>
      <c r="AN43" s="135">
        <v>6666.7</v>
      </c>
      <c r="AO43" s="135"/>
      <c r="AP43" s="135"/>
      <c r="AQ43" s="135">
        <v>2361</v>
      </c>
      <c r="AR43" s="135"/>
      <c r="AS43" s="135"/>
      <c r="AT43" s="135"/>
      <c r="AU43" s="135"/>
      <c r="AV43" s="135"/>
      <c r="AW43" s="135"/>
      <c r="AX43" s="135">
        <v>2125</v>
      </c>
      <c r="AY43" s="135"/>
      <c r="AZ43" s="145">
        <v>711</v>
      </c>
      <c r="BA43" s="135">
        <v>703</v>
      </c>
      <c r="BB43" s="135"/>
      <c r="BC43" s="135"/>
      <c r="BD43" s="135">
        <v>102</v>
      </c>
      <c r="BE43" s="135"/>
      <c r="BF43" s="135">
        <v>68</v>
      </c>
      <c r="BG43" s="135"/>
      <c r="BH43" s="140">
        <v>7.1</v>
      </c>
      <c r="BI43" s="135">
        <v>12.7</v>
      </c>
    </row>
    <row r="44" spans="1:61">
      <c r="B44" s="34" t="s">
        <v>574</v>
      </c>
      <c r="C44">
        <v>4</v>
      </c>
      <c r="F44" s="4" t="s">
        <v>608</v>
      </c>
      <c r="G44" s="123">
        <v>0</v>
      </c>
      <c r="H44" s="123" t="s">
        <v>65</v>
      </c>
      <c r="I44" s="123">
        <v>18</v>
      </c>
      <c r="J44" s="142">
        <v>7</v>
      </c>
      <c r="K44" s="123">
        <v>2</v>
      </c>
      <c r="L44" s="142">
        <v>497</v>
      </c>
      <c r="M44" s="123">
        <v>54</v>
      </c>
      <c r="N44" s="124">
        <v>24</v>
      </c>
      <c r="O44" s="124">
        <v>8</v>
      </c>
      <c r="P44" s="123">
        <v>10.5</v>
      </c>
      <c r="Q44" s="123">
        <v>94.8</v>
      </c>
      <c r="R44" s="123"/>
      <c r="S44" s="125">
        <v>53.6</v>
      </c>
      <c r="T44" s="125">
        <f t="shared" si="22"/>
        <v>546.72</v>
      </c>
      <c r="U44" s="126">
        <f t="shared" si="23"/>
        <v>0</v>
      </c>
      <c r="V44" s="126">
        <f t="shared" si="24"/>
        <v>0</v>
      </c>
      <c r="W44" s="126">
        <v>0.53</v>
      </c>
      <c r="X44" s="127">
        <f t="shared" si="25"/>
        <v>263.2722</v>
      </c>
      <c r="Y44" s="125">
        <v>35.6</v>
      </c>
      <c r="Z44" s="125">
        <f t="shared" si="26"/>
        <v>0</v>
      </c>
      <c r="AA44" s="128"/>
      <c r="AB44" s="124">
        <v>56</v>
      </c>
      <c r="AC44" s="124">
        <v>90</v>
      </c>
      <c r="AD44" s="124" t="s">
        <v>607</v>
      </c>
      <c r="AE44" s="124">
        <v>14983</v>
      </c>
      <c r="AF44" s="124">
        <v>15122</v>
      </c>
      <c r="AG44" s="124">
        <v>6825.2</v>
      </c>
      <c r="AH44" s="124"/>
      <c r="AI44" s="124">
        <v>8297.5</v>
      </c>
      <c r="AJ44" s="124"/>
      <c r="AK44" s="124"/>
      <c r="AL44" s="124"/>
      <c r="AM44" s="124"/>
      <c r="AN44" s="124">
        <v>6666.7</v>
      </c>
      <c r="AO44" s="124"/>
      <c r="AP44" s="124"/>
      <c r="AQ44" s="124">
        <v>1388.9</v>
      </c>
      <c r="AR44" s="124"/>
      <c r="AS44" s="124"/>
      <c r="AT44" s="124"/>
      <c r="AU44" s="124"/>
      <c r="AV44" s="124"/>
      <c r="AW44" s="124"/>
      <c r="AX44" s="124">
        <v>1250</v>
      </c>
      <c r="AY44" s="124"/>
      <c r="AZ44" s="146">
        <v>712.9</v>
      </c>
      <c r="BA44" s="124">
        <v>705.2</v>
      </c>
      <c r="BB44" s="124"/>
      <c r="BC44" s="124"/>
      <c r="BD44" s="124">
        <v>67.5</v>
      </c>
      <c r="BE44" s="124"/>
      <c r="BF44" s="124">
        <v>51.4</v>
      </c>
      <c r="BG44" s="124"/>
      <c r="BH44" s="129">
        <v>7</v>
      </c>
      <c r="BI44" s="124">
        <v>7.5</v>
      </c>
    </row>
    <row r="45" spans="1:61">
      <c r="B45" s="34" t="s">
        <v>575</v>
      </c>
      <c r="C45">
        <f>C42/C44</f>
        <v>1666.675</v>
      </c>
      <c r="F45" s="133" t="s">
        <v>608</v>
      </c>
      <c r="G45" s="134">
        <v>0</v>
      </c>
      <c r="H45" s="134" t="s">
        <v>65</v>
      </c>
      <c r="I45" s="134">
        <v>15</v>
      </c>
      <c r="J45" s="144">
        <v>7</v>
      </c>
      <c r="K45" s="134">
        <v>2</v>
      </c>
      <c r="L45" s="144">
        <v>497</v>
      </c>
      <c r="M45" s="134">
        <v>54</v>
      </c>
      <c r="N45" s="135">
        <v>24</v>
      </c>
      <c r="O45" s="135">
        <v>8</v>
      </c>
      <c r="P45" s="134">
        <v>10.5</v>
      </c>
      <c r="Q45" s="134">
        <v>69</v>
      </c>
      <c r="R45" s="134"/>
      <c r="S45" s="136">
        <v>39</v>
      </c>
      <c r="T45" s="136">
        <f t="shared" si="22"/>
        <v>397.79999999999995</v>
      </c>
      <c r="U45" s="137">
        <f t="shared" si="23"/>
        <v>0</v>
      </c>
      <c r="V45" s="137">
        <f t="shared" si="24"/>
        <v>0</v>
      </c>
      <c r="W45" s="137">
        <v>0.38</v>
      </c>
      <c r="X45" s="138">
        <f t="shared" si="25"/>
        <v>188.7612</v>
      </c>
      <c r="Y45" s="136">
        <v>26</v>
      </c>
      <c r="Z45" s="136">
        <f t="shared" si="26"/>
        <v>0</v>
      </c>
      <c r="AA45" s="139"/>
      <c r="AB45" s="135">
        <v>45</v>
      </c>
      <c r="AC45" s="135">
        <v>90</v>
      </c>
      <c r="AD45" s="135" t="s">
        <v>607</v>
      </c>
      <c r="AE45" s="135">
        <v>15051</v>
      </c>
      <c r="AF45" s="135">
        <v>15246</v>
      </c>
      <c r="AG45" s="135">
        <v>6880.9</v>
      </c>
      <c r="AH45" s="135"/>
      <c r="AI45" s="135">
        <v>8365.2000000000007</v>
      </c>
      <c r="AJ45" s="135"/>
      <c r="AK45" s="135"/>
      <c r="AL45" s="135"/>
      <c r="AM45" s="135"/>
      <c r="AN45" s="135">
        <v>6666.7</v>
      </c>
      <c r="AO45" s="135"/>
      <c r="AP45" s="135"/>
      <c r="AQ45" s="135">
        <v>1944</v>
      </c>
      <c r="AR45" s="135"/>
      <c r="AS45" s="135"/>
      <c r="AT45" s="135"/>
      <c r="AU45" s="135"/>
      <c r="AV45" s="135"/>
      <c r="AW45" s="135"/>
      <c r="AX45" s="135">
        <v>1750</v>
      </c>
      <c r="AY45" s="135"/>
      <c r="AZ45" s="135">
        <v>721.8</v>
      </c>
      <c r="BA45" s="135">
        <v>713.9</v>
      </c>
      <c r="BB45" s="135"/>
      <c r="BC45" s="135"/>
      <c r="BD45" s="135">
        <v>90.4</v>
      </c>
      <c r="BE45" s="135"/>
      <c r="BF45" s="135">
        <v>63.1</v>
      </c>
      <c r="BG45" s="135"/>
      <c r="BH45" s="140">
        <v>7.1</v>
      </c>
      <c r="BI45" s="135">
        <v>10.5</v>
      </c>
    </row>
    <row r="46" spans="1:61">
      <c r="B46" s="34" t="s">
        <v>564</v>
      </c>
      <c r="C46">
        <v>0.78</v>
      </c>
      <c r="D46" s="34" t="s">
        <v>46</v>
      </c>
      <c r="F46" s="4" t="s">
        <v>608</v>
      </c>
      <c r="G46" s="123">
        <v>0</v>
      </c>
      <c r="H46" s="123" t="s">
        <v>65</v>
      </c>
      <c r="I46" s="123">
        <v>15</v>
      </c>
      <c r="J46" s="142">
        <v>7</v>
      </c>
      <c r="K46" s="123">
        <v>2</v>
      </c>
      <c r="L46" s="142">
        <v>497</v>
      </c>
      <c r="M46" s="123">
        <v>54</v>
      </c>
      <c r="N46" s="124">
        <v>24</v>
      </c>
      <c r="O46" s="124">
        <v>8</v>
      </c>
      <c r="P46" s="123">
        <v>10.5</v>
      </c>
      <c r="Q46" s="123">
        <v>102.4</v>
      </c>
      <c r="R46" s="123"/>
      <c r="S46" s="125">
        <v>57.8</v>
      </c>
      <c r="T46" s="125">
        <f t="shared" si="22"/>
        <v>589.55999999999995</v>
      </c>
      <c r="U46" s="126">
        <f t="shared" si="23"/>
        <v>0</v>
      </c>
      <c r="V46" s="126">
        <f t="shared" si="24"/>
        <v>0</v>
      </c>
      <c r="W46" s="126">
        <v>0.53</v>
      </c>
      <c r="X46" s="127">
        <f t="shared" si="25"/>
        <v>263.2722</v>
      </c>
      <c r="Y46" s="125">
        <v>38.5</v>
      </c>
      <c r="Z46" s="125">
        <f t="shared" si="26"/>
        <v>0</v>
      </c>
      <c r="AA46" s="128"/>
      <c r="AB46" s="124">
        <v>45</v>
      </c>
      <c r="AC46" s="124">
        <v>90</v>
      </c>
      <c r="AD46" s="124" t="s">
        <v>607</v>
      </c>
      <c r="AE46" s="124">
        <v>14932</v>
      </c>
      <c r="AF46" s="124">
        <v>15030</v>
      </c>
      <c r="AG46" s="124">
        <v>6783.4</v>
      </c>
      <c r="AH46" s="124"/>
      <c r="AI46" s="124">
        <v>8246.7000000000007</v>
      </c>
      <c r="AJ46" s="124"/>
      <c r="AK46" s="124"/>
      <c r="AL46" s="124"/>
      <c r="AM46" s="124"/>
      <c r="AN46" s="124">
        <v>6666.7</v>
      </c>
      <c r="AO46" s="124"/>
      <c r="AP46" s="124"/>
      <c r="AQ46" s="124">
        <v>972.2</v>
      </c>
      <c r="AR46" s="124"/>
      <c r="AS46" s="124"/>
      <c r="AT46" s="124"/>
      <c r="AU46" s="124"/>
      <c r="AV46" s="124"/>
      <c r="AW46" s="124"/>
      <c r="AX46" s="124">
        <v>875</v>
      </c>
      <c r="AY46" s="124"/>
      <c r="AZ46" s="124">
        <v>723.3</v>
      </c>
      <c r="BA46" s="124">
        <v>715.6</v>
      </c>
      <c r="BB46" s="124"/>
      <c r="BC46" s="124"/>
      <c r="BD46" s="124">
        <v>54</v>
      </c>
      <c r="BE46" s="124"/>
      <c r="BF46" s="124">
        <v>43.5</v>
      </c>
      <c r="BG46" s="124"/>
      <c r="BH46" s="129">
        <v>7</v>
      </c>
      <c r="BI46" s="124">
        <v>5.2</v>
      </c>
    </row>
    <row r="47" spans="1:61">
      <c r="B47" s="34" t="s">
        <v>565</v>
      </c>
      <c r="C47" s="34">
        <v>0.96099999999999997</v>
      </c>
      <c r="D47" s="34" t="s">
        <v>46</v>
      </c>
      <c r="E47" s="34" t="s">
        <v>46</v>
      </c>
      <c r="F47" s="4" t="s">
        <v>608</v>
      </c>
      <c r="G47" s="123">
        <v>0</v>
      </c>
      <c r="H47" s="123" t="s">
        <v>65</v>
      </c>
      <c r="I47" s="123">
        <v>13</v>
      </c>
      <c r="J47" s="142">
        <v>7</v>
      </c>
      <c r="K47" s="123">
        <v>2</v>
      </c>
      <c r="L47" s="142">
        <v>497</v>
      </c>
      <c r="M47" s="123">
        <v>54</v>
      </c>
      <c r="N47" s="124">
        <v>24</v>
      </c>
      <c r="O47" s="124">
        <v>8</v>
      </c>
      <c r="P47" s="123">
        <v>10.5</v>
      </c>
      <c r="Q47" s="123">
        <v>103.6</v>
      </c>
      <c r="R47" s="123"/>
      <c r="S47" s="125">
        <v>58.5</v>
      </c>
      <c r="T47" s="125">
        <f t="shared" si="22"/>
        <v>596.69999999999993</v>
      </c>
      <c r="U47" s="126">
        <f t="shared" si="23"/>
        <v>0</v>
      </c>
      <c r="V47" s="126">
        <f t="shared" si="24"/>
        <v>0</v>
      </c>
      <c r="W47" s="126">
        <v>0.52</v>
      </c>
      <c r="X47" s="127">
        <f t="shared" si="25"/>
        <v>258.3048</v>
      </c>
      <c r="Y47" s="125">
        <v>39</v>
      </c>
      <c r="Z47" s="125">
        <f t="shared" si="26"/>
        <v>0</v>
      </c>
      <c r="AA47" s="128"/>
      <c r="AB47" s="124">
        <v>45</v>
      </c>
      <c r="AC47" s="124">
        <v>90</v>
      </c>
      <c r="AD47" s="124" t="s">
        <v>607</v>
      </c>
      <c r="AE47" s="124">
        <v>14907</v>
      </c>
      <c r="AF47" s="124">
        <v>14983</v>
      </c>
      <c r="AG47" s="124">
        <v>6762.5</v>
      </c>
      <c r="AH47" s="124"/>
      <c r="AI47" s="124">
        <v>8221.4</v>
      </c>
      <c r="AJ47" s="124"/>
      <c r="AK47" s="124"/>
      <c r="AL47" s="124"/>
      <c r="AM47" s="124"/>
      <c r="AN47" s="124">
        <v>6666.7</v>
      </c>
      <c r="AO47" s="124"/>
      <c r="AP47" s="124"/>
      <c r="AQ47" s="124">
        <v>763.9</v>
      </c>
      <c r="AR47" s="124"/>
      <c r="AS47" s="124"/>
      <c r="AT47" s="124"/>
      <c r="AU47" s="124"/>
      <c r="AV47" s="124"/>
      <c r="AW47" s="124"/>
      <c r="AX47" s="124">
        <v>687.5</v>
      </c>
      <c r="AY47" s="124"/>
      <c r="AZ47" s="124">
        <v>732.8</v>
      </c>
      <c r="BA47" s="124">
        <v>725</v>
      </c>
      <c r="BB47" s="124"/>
      <c r="BC47" s="124"/>
      <c r="BD47" s="124">
        <v>46.7</v>
      </c>
      <c r="BE47" s="124"/>
      <c r="BF47" s="124">
        <v>38.5</v>
      </c>
      <c r="BG47" s="124"/>
      <c r="BH47" s="129">
        <v>7</v>
      </c>
      <c r="BI47" s="124">
        <v>4.0999999999999996</v>
      </c>
    </row>
    <row r="48" spans="1:61">
      <c r="B48" s="34" t="s">
        <v>567</v>
      </c>
      <c r="C48" s="44">
        <f>C43*C44*C45*0.000434/C46/C47/C4</f>
        <v>535.65360646785155</v>
      </c>
      <c r="E48" s="63" t="s">
        <v>46</v>
      </c>
      <c r="F48" s="4" t="s">
        <v>608</v>
      </c>
      <c r="G48" s="123">
        <v>0</v>
      </c>
      <c r="H48" s="123" t="s">
        <v>65</v>
      </c>
      <c r="I48" s="123">
        <v>13</v>
      </c>
      <c r="J48" s="142">
        <v>7</v>
      </c>
      <c r="K48" s="142">
        <v>1</v>
      </c>
      <c r="L48" s="142">
        <v>497</v>
      </c>
      <c r="M48" s="142">
        <v>27</v>
      </c>
      <c r="N48" s="147">
        <v>12</v>
      </c>
      <c r="O48" s="124">
        <v>8</v>
      </c>
      <c r="P48" s="123">
        <v>10.5</v>
      </c>
      <c r="Q48" s="123">
        <v>109</v>
      </c>
      <c r="R48" s="123"/>
      <c r="S48" s="125">
        <v>61.5</v>
      </c>
      <c r="T48" s="125">
        <f t="shared" si="22"/>
        <v>627.29999999999995</v>
      </c>
      <c r="U48" s="126">
        <f t="shared" si="23"/>
        <v>0</v>
      </c>
      <c r="V48" s="126">
        <f t="shared" si="24"/>
        <v>0</v>
      </c>
      <c r="W48" s="126">
        <v>0.53</v>
      </c>
      <c r="X48" s="127">
        <f t="shared" si="25"/>
        <v>263.2722</v>
      </c>
      <c r="Y48" s="125">
        <v>41.1</v>
      </c>
      <c r="Z48" s="125">
        <f t="shared" si="26"/>
        <v>0</v>
      </c>
      <c r="AA48" s="128"/>
      <c r="AB48" s="124">
        <v>45</v>
      </c>
      <c r="AC48" s="124">
        <v>90</v>
      </c>
      <c r="AD48" s="147" t="s">
        <v>630</v>
      </c>
      <c r="AE48" s="124">
        <v>14886</v>
      </c>
      <c r="AF48" s="124">
        <v>14945</v>
      </c>
      <c r="AG48" s="124">
        <v>6745.1</v>
      </c>
      <c r="AH48" s="124"/>
      <c r="AI48" s="124">
        <v>8200.1</v>
      </c>
      <c r="AJ48" s="124"/>
      <c r="AK48" s="124"/>
      <c r="AL48" s="124"/>
      <c r="AM48" s="124"/>
      <c r="AN48" s="124">
        <v>6666.7</v>
      </c>
      <c r="AO48" s="124"/>
      <c r="AP48" s="124"/>
      <c r="AQ48" s="124">
        <v>590.29999999999995</v>
      </c>
      <c r="AR48" s="124"/>
      <c r="AS48" s="124"/>
      <c r="AT48" s="124"/>
      <c r="AU48" s="124"/>
      <c r="AV48" s="124"/>
      <c r="AW48" s="124"/>
      <c r="AX48" s="124">
        <v>531.29999999999995</v>
      </c>
      <c r="AY48" s="124"/>
      <c r="AZ48" s="124">
        <v>733</v>
      </c>
      <c r="BA48" s="124">
        <v>725.3</v>
      </c>
      <c r="BB48" s="124"/>
      <c r="BC48" s="124"/>
      <c r="BD48" s="124">
        <v>64.3</v>
      </c>
      <c r="BE48" s="124"/>
      <c r="BF48" s="124">
        <v>50.4</v>
      </c>
      <c r="BG48" s="124"/>
      <c r="BH48" s="129">
        <v>7</v>
      </c>
      <c r="BI48" s="124">
        <v>6.4</v>
      </c>
    </row>
    <row r="49" spans="1:67">
      <c r="B49" s="34" t="s">
        <v>570</v>
      </c>
      <c r="C49" s="44">
        <f>C48*24/AN5/1440*1000</f>
        <v>1.3391273205330263</v>
      </c>
      <c r="F49" s="4" t="s">
        <v>608</v>
      </c>
      <c r="G49" s="123">
        <v>0</v>
      </c>
      <c r="H49" s="123" t="s">
        <v>65</v>
      </c>
      <c r="I49" s="123">
        <v>12</v>
      </c>
      <c r="J49" s="142">
        <v>7</v>
      </c>
      <c r="K49" s="123">
        <v>2</v>
      </c>
      <c r="L49" s="142">
        <v>497</v>
      </c>
      <c r="M49" s="123">
        <v>54</v>
      </c>
      <c r="N49" s="123">
        <v>24</v>
      </c>
      <c r="O49" s="123">
        <v>8</v>
      </c>
      <c r="P49" s="123">
        <v>10.5</v>
      </c>
      <c r="Q49" s="123">
        <v>72</v>
      </c>
      <c r="R49" s="123" t="s">
        <v>46</v>
      </c>
      <c r="S49" s="125">
        <v>40.5</v>
      </c>
      <c r="T49" s="125">
        <f t="shared" si="22"/>
        <v>413.09999999999997</v>
      </c>
      <c r="U49" s="126">
        <f t="shared" si="23"/>
        <v>0</v>
      </c>
      <c r="V49" s="126" t="e">
        <f>#REF!</f>
        <v>#REF!</v>
      </c>
      <c r="W49" s="126">
        <v>0.37</v>
      </c>
      <c r="X49" s="126">
        <f t="shared" si="25"/>
        <v>183.7938</v>
      </c>
      <c r="Y49" s="125">
        <v>27</v>
      </c>
      <c r="Z49" s="131">
        <f t="shared" si="26"/>
        <v>0</v>
      </c>
      <c r="AA49" s="123" t="s">
        <v>46</v>
      </c>
      <c r="AB49" s="123">
        <v>45</v>
      </c>
      <c r="AC49" s="123">
        <v>90</v>
      </c>
      <c r="AD49" s="123" t="s">
        <v>607</v>
      </c>
      <c r="AE49" s="125">
        <v>15005</v>
      </c>
      <c r="AF49" s="125">
        <v>15161</v>
      </c>
      <c r="AG49" s="125">
        <v>6843</v>
      </c>
      <c r="AH49" s="125" t="e">
        <f>#REF!</f>
        <v>#REF!</v>
      </c>
      <c r="AI49" s="125">
        <v>8319</v>
      </c>
      <c r="AJ49" s="125" t="e">
        <f>#REF!</f>
        <v>#REF!</v>
      </c>
      <c r="AK49" s="125" t="e">
        <f>#REF!</f>
        <v>#REF!</v>
      </c>
      <c r="AL49" s="125" t="e">
        <f>#REF!</f>
        <v>#REF!</v>
      </c>
      <c r="AM49" s="125" t="e">
        <f>#REF!</f>
        <v>#REF!</v>
      </c>
      <c r="AN49" s="125">
        <v>6667.1</v>
      </c>
      <c r="AO49" s="125" t="e">
        <f>#REF!</f>
        <v>#REF!</v>
      </c>
      <c r="AP49" s="125" t="e">
        <f>#REF!</f>
        <v>#REF!</v>
      </c>
      <c r="AQ49" s="125">
        <v>1559</v>
      </c>
      <c r="AR49" s="125" t="e">
        <f t="shared" ref="AR49" si="27">#REF!</f>
        <v>#REF!</v>
      </c>
      <c r="AS49" s="125" t="e">
        <f t="shared" ref="AS49" si="28">#REF!</f>
        <v>#REF!</v>
      </c>
      <c r="AT49" s="125" t="e">
        <f t="shared" ref="AT49" si="29">#REF!</f>
        <v>#REF!</v>
      </c>
      <c r="AU49" s="125" t="e">
        <f t="shared" ref="AU49" si="30">#REF!</f>
        <v>#REF!</v>
      </c>
      <c r="AV49" s="125" t="e">
        <f t="shared" ref="AV49" si="31">#REF!</f>
        <v>#REF!</v>
      </c>
      <c r="AW49" s="125" t="e">
        <f t="shared" ref="AW49" si="32">#REF!</f>
        <v>#REF!</v>
      </c>
      <c r="AX49" s="125">
        <v>1403</v>
      </c>
      <c r="AY49" s="125" t="e">
        <f>#REF!</f>
        <v>#REF!</v>
      </c>
      <c r="AZ49" s="125">
        <v>737.6</v>
      </c>
      <c r="BA49" s="125">
        <v>729.7</v>
      </c>
      <c r="BB49" s="125" t="e">
        <f>#REF!</f>
        <v>#REF!</v>
      </c>
      <c r="BC49" s="125" t="e">
        <f>#REF!</f>
        <v>#REF!</v>
      </c>
      <c r="BD49" s="125">
        <v>78.400000000000006</v>
      </c>
      <c r="BE49" s="125" t="e">
        <f>#REF!</f>
        <v>#REF!</v>
      </c>
      <c r="BF49" s="125">
        <v>57</v>
      </c>
      <c r="BG49" s="125" t="e">
        <f>#REF!</f>
        <v>#REF!</v>
      </c>
      <c r="BH49" s="125">
        <v>7.1</v>
      </c>
      <c r="BI49" s="125">
        <v>8.4</v>
      </c>
    </row>
    <row r="50" spans="1:67">
      <c r="F50" s="4" t="s">
        <v>608</v>
      </c>
      <c r="G50" s="123">
        <v>0</v>
      </c>
      <c r="H50" s="123" t="s">
        <v>65</v>
      </c>
      <c r="I50" s="123">
        <v>10</v>
      </c>
      <c r="J50" s="142">
        <v>7</v>
      </c>
      <c r="K50" s="123">
        <v>2</v>
      </c>
      <c r="L50" s="142">
        <v>497</v>
      </c>
      <c r="M50" s="123">
        <v>54</v>
      </c>
      <c r="N50" s="123">
        <v>24</v>
      </c>
      <c r="O50" s="123">
        <v>8</v>
      </c>
      <c r="P50" s="123">
        <v>10.5</v>
      </c>
      <c r="Q50" s="123">
        <v>72</v>
      </c>
      <c r="R50" s="123"/>
      <c r="S50" s="125">
        <v>40.5</v>
      </c>
      <c r="T50" s="125">
        <f t="shared" si="22"/>
        <v>413.09999999999997</v>
      </c>
      <c r="U50" s="126">
        <f t="shared" si="23"/>
        <v>0</v>
      </c>
      <c r="V50" s="126" t="e">
        <f>#REF!</f>
        <v>#REF!</v>
      </c>
      <c r="W50" s="126">
        <v>0.36</v>
      </c>
      <c r="X50" s="126">
        <f t="shared" si="25"/>
        <v>178.82640000000001</v>
      </c>
      <c r="Y50" s="125">
        <v>27</v>
      </c>
      <c r="Z50" s="131">
        <f t="shared" si="26"/>
        <v>0</v>
      </c>
      <c r="AA50" s="123"/>
      <c r="AB50" s="123">
        <v>45</v>
      </c>
      <c r="AC50" s="123">
        <v>90</v>
      </c>
      <c r="AD50" s="123" t="s">
        <v>607</v>
      </c>
      <c r="AE50" s="125">
        <v>14983</v>
      </c>
      <c r="AF50" s="125">
        <v>15122</v>
      </c>
      <c r="AG50" s="125">
        <v>6825</v>
      </c>
      <c r="AH50" s="125"/>
      <c r="AI50" s="125">
        <v>8298</v>
      </c>
      <c r="AJ50" s="125"/>
      <c r="AK50" s="125"/>
      <c r="AL50" s="125"/>
      <c r="AM50" s="125"/>
      <c r="AN50" s="125">
        <v>6666.7</v>
      </c>
      <c r="AO50" s="125"/>
      <c r="AP50" s="125"/>
      <c r="AQ50" s="125">
        <v>1389</v>
      </c>
      <c r="AR50" s="125"/>
      <c r="AS50" s="125"/>
      <c r="AT50" s="125"/>
      <c r="AU50" s="125"/>
      <c r="AV50" s="125"/>
      <c r="AW50" s="125"/>
      <c r="AX50" s="125">
        <v>1250</v>
      </c>
      <c r="AY50" s="125"/>
      <c r="AZ50" s="125">
        <v>751.6</v>
      </c>
      <c r="BA50" s="125">
        <v>743.6</v>
      </c>
      <c r="BB50" s="125"/>
      <c r="BC50" s="125"/>
      <c r="BD50" s="125">
        <v>73.2</v>
      </c>
      <c r="BE50" s="125"/>
      <c r="BF50" s="125">
        <v>54.7</v>
      </c>
      <c r="BG50" s="125"/>
      <c r="BH50" s="125">
        <v>7</v>
      </c>
      <c r="BI50" s="125">
        <v>7.5</v>
      </c>
      <c r="BO50" s="122" t="s">
        <v>633</v>
      </c>
    </row>
    <row r="51" spans="1:67">
      <c r="A51" s="34" t="s">
        <v>590</v>
      </c>
      <c r="B51" s="34" t="s">
        <v>570</v>
      </c>
      <c r="C51" s="43">
        <f>C13+C22+C31+C40+C49</f>
        <v>9.4114160626622052</v>
      </c>
      <c r="F51" s="4" t="s">
        <v>608</v>
      </c>
      <c r="G51" s="123">
        <v>0</v>
      </c>
      <c r="H51" s="123" t="s">
        <v>65</v>
      </c>
      <c r="I51" s="123">
        <v>8</v>
      </c>
      <c r="J51" s="142">
        <v>7</v>
      </c>
      <c r="K51" s="123">
        <v>2</v>
      </c>
      <c r="L51" s="142">
        <v>497</v>
      </c>
      <c r="M51" s="123">
        <v>54</v>
      </c>
      <c r="N51" s="124">
        <v>24</v>
      </c>
      <c r="O51" s="124">
        <v>8</v>
      </c>
      <c r="P51" s="123">
        <v>10.5</v>
      </c>
      <c r="Q51" s="123">
        <v>72</v>
      </c>
      <c r="R51" s="123"/>
      <c r="S51" s="125">
        <v>40.5</v>
      </c>
      <c r="T51" s="125">
        <f t="shared" si="22"/>
        <v>413.09999999999997</v>
      </c>
      <c r="U51" s="126">
        <f t="shared" si="23"/>
        <v>0</v>
      </c>
      <c r="V51" s="126">
        <f>IF(G51=0,$R$10*U51,$R$11*U51)</f>
        <v>0</v>
      </c>
      <c r="W51" s="126">
        <v>0.35</v>
      </c>
      <c r="X51" s="130">
        <f t="shared" si="25"/>
        <v>173.85899999999998</v>
      </c>
      <c r="Y51" s="125">
        <v>27</v>
      </c>
      <c r="Z51" s="131">
        <f t="shared" si="26"/>
        <v>0</v>
      </c>
      <c r="AA51" s="128"/>
      <c r="AB51" s="124">
        <v>45</v>
      </c>
      <c r="AC51" s="124">
        <v>90</v>
      </c>
      <c r="AD51" s="124" t="s">
        <v>607</v>
      </c>
      <c r="AE51" s="124">
        <v>14958</v>
      </c>
      <c r="AF51" s="124">
        <v>15076</v>
      </c>
      <c r="AG51" s="124">
        <v>6804</v>
      </c>
      <c r="AH51" s="124"/>
      <c r="AI51" s="124">
        <v>8272</v>
      </c>
      <c r="AJ51" s="124"/>
      <c r="AK51" s="124"/>
      <c r="AL51" s="124"/>
      <c r="AM51" s="124"/>
      <c r="AN51" s="124">
        <v>6666.7</v>
      </c>
      <c r="AO51" s="124"/>
      <c r="AP51" s="124"/>
      <c r="AQ51" s="124">
        <v>1180.5999999999999</v>
      </c>
      <c r="AR51" s="124"/>
      <c r="AS51" s="124"/>
      <c r="AT51" s="124"/>
      <c r="AU51" s="124"/>
      <c r="AV51" s="124"/>
      <c r="AW51" s="124"/>
      <c r="AX51" s="124">
        <v>1063</v>
      </c>
      <c r="AY51" s="124"/>
      <c r="AZ51" s="124">
        <v>769.2</v>
      </c>
      <c r="BA51" s="124">
        <v>761.2</v>
      </c>
      <c r="BB51" s="124"/>
      <c r="BC51" s="124"/>
      <c r="BD51" s="124">
        <v>66</v>
      </c>
      <c r="BE51" s="124"/>
      <c r="BF51" s="124">
        <v>50</v>
      </c>
      <c r="BG51" s="124"/>
      <c r="BH51" s="129">
        <v>7</v>
      </c>
      <c r="BI51" s="124">
        <v>6.4</v>
      </c>
    </row>
    <row r="52" spans="1:67">
      <c r="A52" s="34" t="s">
        <v>591</v>
      </c>
      <c r="B52" s="34" t="s">
        <v>570</v>
      </c>
      <c r="C52" s="43">
        <f>IF(G5=0,'Equipment &amp; Load List'!AK293,'Equipment &amp; Load List'!AJ293)</f>
        <v>1.8337244620236788</v>
      </c>
      <c r="F52" s="4"/>
      <c r="G52" s="123"/>
      <c r="H52" s="123"/>
      <c r="I52" s="123"/>
      <c r="J52" s="142"/>
      <c r="K52" s="123"/>
      <c r="L52" s="142"/>
      <c r="M52" s="123"/>
      <c r="N52" s="124"/>
      <c r="O52" s="124"/>
      <c r="P52" s="123"/>
      <c r="Q52" s="123"/>
      <c r="R52" s="123"/>
      <c r="S52" s="125"/>
      <c r="T52" s="125">
        <f t="shared" si="22"/>
        <v>0</v>
      </c>
      <c r="U52" s="126" t="s">
        <v>46</v>
      </c>
      <c r="V52" s="126" t="e">
        <f>IF(G52=0,$R$10*U52,$R$11*U52)</f>
        <v>#VALUE!</v>
      </c>
      <c r="W52" s="126"/>
      <c r="X52" s="130">
        <f t="shared" si="25"/>
        <v>0</v>
      </c>
      <c r="Y52" s="125"/>
      <c r="Z52" s="125">
        <f t="shared" si="26"/>
        <v>0</v>
      </c>
      <c r="AA52" s="128"/>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9"/>
      <c r="BI52" s="124"/>
    </row>
    <row r="53" spans="1:67">
      <c r="A53" s="34" t="s">
        <v>592</v>
      </c>
      <c r="B53" s="34" t="s">
        <v>570</v>
      </c>
      <c r="C53" s="43">
        <f>'Equipment &amp; Load List'!AJ297</f>
        <v>0.22502250225022502</v>
      </c>
      <c r="F53" s="4"/>
      <c r="G53" s="123"/>
      <c r="H53" s="123"/>
      <c r="I53" s="123"/>
      <c r="J53" s="142"/>
      <c r="K53" s="123"/>
      <c r="L53" s="142"/>
      <c r="M53" s="123"/>
      <c r="N53" s="124"/>
      <c r="O53" s="124"/>
      <c r="P53" s="123"/>
      <c r="Q53" s="123"/>
      <c r="R53" s="123"/>
      <c r="S53" s="125"/>
      <c r="T53" s="125"/>
      <c r="U53" s="126" t="s">
        <v>46</v>
      </c>
      <c r="V53" s="126"/>
      <c r="W53" s="126"/>
      <c r="X53" s="130"/>
      <c r="Y53" s="125"/>
      <c r="Z53" s="125"/>
      <c r="AA53" s="128"/>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9"/>
      <c r="BI53" s="124"/>
    </row>
    <row r="54" spans="1:67">
      <c r="A54" s="34" t="s">
        <v>593</v>
      </c>
      <c r="B54" s="34" t="s">
        <v>570</v>
      </c>
      <c r="C54" s="93">
        <f>SUM(C51:C53)</f>
        <v>11.470163026936108</v>
      </c>
      <c r="F54" s="133" t="s">
        <v>608</v>
      </c>
      <c r="G54" s="134">
        <v>0</v>
      </c>
      <c r="H54" s="134" t="s">
        <v>610</v>
      </c>
      <c r="I54" s="134">
        <v>18</v>
      </c>
      <c r="J54" s="144">
        <v>7</v>
      </c>
      <c r="K54" s="134">
        <v>2</v>
      </c>
      <c r="L54" s="144">
        <v>497</v>
      </c>
      <c r="M54" s="134">
        <v>54</v>
      </c>
      <c r="N54" s="135">
        <v>24</v>
      </c>
      <c r="O54" s="135">
        <v>8</v>
      </c>
      <c r="P54" s="134">
        <v>10.5</v>
      </c>
      <c r="Q54" s="134">
        <v>65</v>
      </c>
      <c r="R54" s="134"/>
      <c r="S54" s="136">
        <v>36.5</v>
      </c>
      <c r="T54" s="136">
        <f t="shared" ref="T54:T62" si="33">IF(G54=0,$P$10*S54,$P$11*S54)</f>
        <v>372.29999999999995</v>
      </c>
      <c r="U54" s="126">
        <f t="shared" ref="U54:U62" si="34">IF(H54="Max",S54/21000*110*$R$376,S54/19030*71*$R$376)</f>
        <v>0</v>
      </c>
      <c r="V54" s="137">
        <f t="shared" ref="V54:V62" si="35">IF(G54=0,$R$10*U54,$R$11*U54)</f>
        <v>0</v>
      </c>
      <c r="W54" s="137">
        <v>0.38</v>
      </c>
      <c r="X54" s="138">
        <f>IF(G54=0,$T$10*W54,$T$11*W54)</f>
        <v>188.7612</v>
      </c>
      <c r="Y54" s="136">
        <v>24.3</v>
      </c>
      <c r="Z54" s="136">
        <f t="shared" ref="Z54:Z80" si="36">IF(G54=0,$V$10*Y54,$V$11*Y54)</f>
        <v>0</v>
      </c>
      <c r="AA54" s="139"/>
      <c r="AB54" s="135">
        <v>45</v>
      </c>
      <c r="AC54" s="135">
        <v>90</v>
      </c>
      <c r="AD54" s="135" t="s">
        <v>607</v>
      </c>
      <c r="AE54" s="135">
        <v>15094</v>
      </c>
      <c r="AF54" s="135">
        <v>15323</v>
      </c>
      <c r="AG54" s="135">
        <v>6916</v>
      </c>
      <c r="AH54" s="135"/>
      <c r="AI54" s="135">
        <v>8408</v>
      </c>
      <c r="AJ54" s="135"/>
      <c r="AK54" s="135"/>
      <c r="AL54" s="135"/>
      <c r="AM54" s="135"/>
      <c r="AN54" s="135">
        <v>6666.7</v>
      </c>
      <c r="AO54" s="135"/>
      <c r="AP54" s="135"/>
      <c r="AQ54" s="135">
        <v>2292</v>
      </c>
      <c r="AR54" s="135"/>
      <c r="AS54" s="135"/>
      <c r="AT54" s="135"/>
      <c r="AU54" s="135"/>
      <c r="AV54" s="135"/>
      <c r="AW54" s="135"/>
      <c r="AX54" s="135">
        <v>2063</v>
      </c>
      <c r="AY54" s="135"/>
      <c r="AZ54" s="135">
        <v>694.4</v>
      </c>
      <c r="BA54" s="135">
        <v>686.6</v>
      </c>
      <c r="BB54" s="135"/>
      <c r="BC54" s="135"/>
      <c r="BD54" s="135">
        <v>99.2</v>
      </c>
      <c r="BE54" s="135"/>
      <c r="BF54" s="135">
        <v>66.099999999999994</v>
      </c>
      <c r="BG54" s="135"/>
      <c r="BH54" s="140">
        <v>7.1</v>
      </c>
      <c r="BI54" s="135">
        <v>12.4</v>
      </c>
    </row>
    <row r="55" spans="1:67">
      <c r="B55" s="34" t="s">
        <v>594</v>
      </c>
      <c r="C55" s="43">
        <f>C54/3.78</f>
        <v>3.0344346632106105</v>
      </c>
      <c r="F55" s="4" t="s">
        <v>608</v>
      </c>
      <c r="G55" s="123">
        <v>0</v>
      </c>
      <c r="H55" s="123" t="s">
        <v>610</v>
      </c>
      <c r="I55" s="123">
        <v>18</v>
      </c>
      <c r="J55" s="142">
        <v>7</v>
      </c>
      <c r="K55" s="123">
        <v>2</v>
      </c>
      <c r="L55" s="142">
        <v>497</v>
      </c>
      <c r="M55" s="123">
        <v>54</v>
      </c>
      <c r="N55" s="124">
        <v>24</v>
      </c>
      <c r="O55" s="124">
        <v>8</v>
      </c>
      <c r="P55" s="123">
        <v>10.5</v>
      </c>
      <c r="Q55" s="123">
        <v>95.2</v>
      </c>
      <c r="R55" s="123"/>
      <c r="S55" s="125">
        <v>53.8</v>
      </c>
      <c r="T55" s="125">
        <f t="shared" si="33"/>
        <v>548.75999999999988</v>
      </c>
      <c r="U55" s="126">
        <f t="shared" si="34"/>
        <v>0</v>
      </c>
      <c r="V55" s="126">
        <f t="shared" si="35"/>
        <v>0</v>
      </c>
      <c r="W55" s="126">
        <v>0.53</v>
      </c>
      <c r="X55" s="127">
        <f>IF(G55=0,$T$10*W55,$T$11*W55)</f>
        <v>263.2722</v>
      </c>
      <c r="Y55" s="125">
        <v>35.799999999999997</v>
      </c>
      <c r="Z55" s="125">
        <f t="shared" si="36"/>
        <v>0</v>
      </c>
      <c r="AA55" s="128"/>
      <c r="AB55" s="124">
        <v>45</v>
      </c>
      <c r="AC55" s="124">
        <v>90</v>
      </c>
      <c r="AD55" s="124" t="s">
        <v>607</v>
      </c>
      <c r="AE55" s="124">
        <v>14975</v>
      </c>
      <c r="AF55" s="124">
        <v>15107</v>
      </c>
      <c r="AG55" s="124">
        <v>6818.2</v>
      </c>
      <c r="AH55" s="124"/>
      <c r="AI55" s="124">
        <v>8289</v>
      </c>
      <c r="AJ55" s="124"/>
      <c r="AK55" s="124"/>
      <c r="AL55" s="124"/>
      <c r="AM55" s="124"/>
      <c r="AN55" s="124">
        <v>6666.7</v>
      </c>
      <c r="AO55" s="124"/>
      <c r="AP55" s="124"/>
      <c r="AQ55" s="124">
        <v>1319.4</v>
      </c>
      <c r="AR55" s="124"/>
      <c r="AS55" s="124"/>
      <c r="AT55" s="124"/>
      <c r="AU55" s="124"/>
      <c r="AV55" s="124"/>
      <c r="AW55" s="124"/>
      <c r="AX55" s="124">
        <v>1187.5</v>
      </c>
      <c r="AY55" s="124"/>
      <c r="AZ55" s="124">
        <v>696.2</v>
      </c>
      <c r="BA55" s="124">
        <v>688.5</v>
      </c>
      <c r="BB55" s="124"/>
      <c r="BC55" s="124"/>
      <c r="BD55" s="124">
        <v>64.8</v>
      </c>
      <c r="BE55" s="124"/>
      <c r="BF55" s="124">
        <v>49.7</v>
      </c>
      <c r="BG55" s="124"/>
      <c r="BH55" s="129">
        <v>7</v>
      </c>
      <c r="BI55" s="124">
        <v>7.1</v>
      </c>
    </row>
    <row r="56" spans="1:67">
      <c r="F56" s="4" t="s">
        <v>608</v>
      </c>
      <c r="G56" s="123">
        <v>0</v>
      </c>
      <c r="H56" s="123" t="s">
        <v>610</v>
      </c>
      <c r="I56" s="123">
        <v>18</v>
      </c>
      <c r="J56" s="142">
        <v>7</v>
      </c>
      <c r="K56" s="142">
        <v>1</v>
      </c>
      <c r="L56" s="142">
        <v>497</v>
      </c>
      <c r="M56" s="142">
        <v>27</v>
      </c>
      <c r="N56" s="147">
        <v>12</v>
      </c>
      <c r="O56" s="124">
        <v>8</v>
      </c>
      <c r="P56" s="123">
        <v>10.5</v>
      </c>
      <c r="Q56" s="123">
        <v>99.3</v>
      </c>
      <c r="R56" s="123"/>
      <c r="S56" s="125">
        <v>56</v>
      </c>
      <c r="T56" s="125">
        <f t="shared" si="33"/>
        <v>571.19999999999993</v>
      </c>
      <c r="U56" s="126">
        <f t="shared" si="34"/>
        <v>0</v>
      </c>
      <c r="V56" s="126">
        <f t="shared" si="35"/>
        <v>0</v>
      </c>
      <c r="W56" s="126">
        <v>0.53</v>
      </c>
      <c r="X56" s="127">
        <f>IF(G56=0,$T$10*W56,$T$11*W56)</f>
        <v>263.2722</v>
      </c>
      <c r="Y56" s="125">
        <v>37.4</v>
      </c>
      <c r="Z56" s="125">
        <f t="shared" si="36"/>
        <v>0</v>
      </c>
      <c r="AA56" s="128"/>
      <c r="AB56" s="124">
        <v>45</v>
      </c>
      <c r="AC56" s="124">
        <v>90</v>
      </c>
      <c r="AD56" s="147" t="s">
        <v>630</v>
      </c>
      <c r="AE56" s="124">
        <v>14964</v>
      </c>
      <c r="AF56" s="124">
        <v>15068</v>
      </c>
      <c r="AG56" s="124">
        <v>6800.8</v>
      </c>
      <c r="AH56" s="124"/>
      <c r="AI56" s="124">
        <v>8267.9</v>
      </c>
      <c r="AJ56" s="124"/>
      <c r="AK56" s="124"/>
      <c r="AL56" s="124"/>
      <c r="AM56" s="124"/>
      <c r="AN56" s="124">
        <v>6666.7</v>
      </c>
      <c r="AO56" s="124"/>
      <c r="AP56" s="124"/>
      <c r="AQ56" s="124">
        <v>1145.8</v>
      </c>
      <c r="AR56" s="124"/>
      <c r="AS56" s="124"/>
      <c r="AT56" s="124"/>
      <c r="AU56" s="124"/>
      <c r="AV56" s="124"/>
      <c r="AW56" s="124"/>
      <c r="AX56" s="124">
        <v>1031.3</v>
      </c>
      <c r="AY56" s="124"/>
      <c r="AZ56" s="124">
        <v>696.5</v>
      </c>
      <c r="BA56" s="124">
        <v>688.8</v>
      </c>
      <c r="BB56" s="124"/>
      <c r="BC56" s="124"/>
      <c r="BD56" s="124">
        <v>103.7</v>
      </c>
      <c r="BE56" s="124"/>
      <c r="BF56" s="124">
        <v>71.8</v>
      </c>
      <c r="BG56" s="124"/>
      <c r="BH56" s="129">
        <v>7</v>
      </c>
      <c r="BI56" s="124">
        <v>12.4</v>
      </c>
    </row>
    <row r="57" spans="1:67">
      <c r="F57" s="133" t="s">
        <v>608</v>
      </c>
      <c r="G57" s="134">
        <v>0</v>
      </c>
      <c r="H57" s="134" t="s">
        <v>610</v>
      </c>
      <c r="I57" s="134">
        <v>15</v>
      </c>
      <c r="J57" s="144">
        <v>7</v>
      </c>
      <c r="K57" s="134">
        <v>2</v>
      </c>
      <c r="L57" s="144">
        <v>497</v>
      </c>
      <c r="M57" s="134">
        <v>54</v>
      </c>
      <c r="N57" s="135">
        <v>24</v>
      </c>
      <c r="O57" s="135">
        <v>8</v>
      </c>
      <c r="P57" s="134">
        <v>10.5</v>
      </c>
      <c r="Q57" s="134">
        <v>70</v>
      </c>
      <c r="R57" s="134"/>
      <c r="S57" s="136">
        <v>39.200000000000003</v>
      </c>
      <c r="T57" s="136">
        <f t="shared" si="33"/>
        <v>399.84</v>
      </c>
      <c r="U57" s="126">
        <f t="shared" si="34"/>
        <v>0</v>
      </c>
      <c r="V57" s="137">
        <f t="shared" si="35"/>
        <v>0</v>
      </c>
      <c r="W57" s="137">
        <v>0.38</v>
      </c>
      <c r="X57" s="138">
        <f>IF(G57=0,$T$10*W57,$T$11*W57)</f>
        <v>188.7612</v>
      </c>
      <c r="Y57" s="136">
        <v>26.1</v>
      </c>
      <c r="Z57" s="136">
        <f t="shared" si="36"/>
        <v>0</v>
      </c>
      <c r="AA57" s="139"/>
      <c r="AB57" s="135">
        <v>45</v>
      </c>
      <c r="AC57" s="135">
        <v>90</v>
      </c>
      <c r="AD57" s="135" t="s">
        <v>607</v>
      </c>
      <c r="AE57" s="135">
        <v>15043</v>
      </c>
      <c r="AF57" s="135">
        <v>15230</v>
      </c>
      <c r="AG57" s="135">
        <v>6874</v>
      </c>
      <c r="AH57" s="135"/>
      <c r="AI57" s="135">
        <v>8357</v>
      </c>
      <c r="AJ57" s="135"/>
      <c r="AK57" s="135"/>
      <c r="AL57" s="135"/>
      <c r="AM57" s="135"/>
      <c r="AN57" s="135">
        <v>6666.7</v>
      </c>
      <c r="AO57" s="135"/>
      <c r="AP57" s="135"/>
      <c r="AQ57" s="135">
        <v>1875</v>
      </c>
      <c r="AR57" s="135"/>
      <c r="AS57" s="135"/>
      <c r="AT57" s="135"/>
      <c r="AU57" s="135"/>
      <c r="AV57" s="135"/>
      <c r="AW57" s="135"/>
      <c r="AX57" s="135">
        <v>1688</v>
      </c>
      <c r="AY57" s="135"/>
      <c r="AZ57" s="135">
        <v>705.2</v>
      </c>
      <c r="BA57" s="135">
        <v>697.3</v>
      </c>
      <c r="BB57" s="135"/>
      <c r="BC57" s="135"/>
      <c r="BD57" s="135">
        <v>87.2</v>
      </c>
      <c r="BE57" s="135"/>
      <c r="BF57" s="135">
        <v>61.1</v>
      </c>
      <c r="BG57" s="135"/>
      <c r="BH57" s="140">
        <v>7.1</v>
      </c>
      <c r="BI57" s="135">
        <v>10.1</v>
      </c>
    </row>
    <row r="58" spans="1:67" s="64" customFormat="1">
      <c r="F58" s="4" t="s">
        <v>608</v>
      </c>
      <c r="G58" s="123">
        <v>0</v>
      </c>
      <c r="H58" s="123" t="s">
        <v>610</v>
      </c>
      <c r="I58" s="123">
        <v>15</v>
      </c>
      <c r="J58" s="142">
        <v>7</v>
      </c>
      <c r="K58" s="142">
        <v>1</v>
      </c>
      <c r="L58" s="142">
        <v>497</v>
      </c>
      <c r="M58" s="142">
        <v>27</v>
      </c>
      <c r="N58" s="147">
        <v>12</v>
      </c>
      <c r="O58" s="124">
        <v>8</v>
      </c>
      <c r="P58" s="123">
        <v>10.5</v>
      </c>
      <c r="Q58" s="123">
        <v>105.4</v>
      </c>
      <c r="R58" s="123"/>
      <c r="S58" s="125">
        <v>59.5</v>
      </c>
      <c r="T58" s="125">
        <f t="shared" si="33"/>
        <v>606.9</v>
      </c>
      <c r="U58" s="126">
        <f t="shared" si="34"/>
        <v>0</v>
      </c>
      <c r="V58" s="126">
        <f t="shared" si="35"/>
        <v>0</v>
      </c>
      <c r="W58" s="126">
        <v>0.53</v>
      </c>
      <c r="X58" s="127"/>
      <c r="Y58" s="125">
        <v>39.700000000000003</v>
      </c>
      <c r="Z58" s="125">
        <f t="shared" si="36"/>
        <v>0</v>
      </c>
      <c r="AA58" s="128"/>
      <c r="AB58" s="124">
        <v>45</v>
      </c>
      <c r="AC58" s="124">
        <v>90</v>
      </c>
      <c r="AD58" s="147" t="s">
        <v>630</v>
      </c>
      <c r="AE58" s="124">
        <v>14907</v>
      </c>
      <c r="AF58" s="124">
        <v>14983</v>
      </c>
      <c r="AG58" s="124">
        <v>6762.5</v>
      </c>
      <c r="AH58" s="124"/>
      <c r="AI58" s="124">
        <v>8221.2999999999993</v>
      </c>
      <c r="AJ58" s="124"/>
      <c r="AK58" s="124"/>
      <c r="AL58" s="124"/>
      <c r="AM58" s="124"/>
      <c r="AN58" s="124">
        <v>6666.7</v>
      </c>
      <c r="AO58" s="124"/>
      <c r="AP58" s="124"/>
      <c r="AQ58" s="124">
        <v>763.9</v>
      </c>
      <c r="AR58" s="124"/>
      <c r="AS58" s="124"/>
      <c r="AT58" s="124"/>
      <c r="AU58" s="124"/>
      <c r="AV58" s="124"/>
      <c r="AW58" s="124"/>
      <c r="AX58" s="124">
        <v>687.5</v>
      </c>
      <c r="AY58" s="124"/>
      <c r="AZ58" s="124">
        <v>706.8</v>
      </c>
      <c r="BA58" s="124">
        <v>699.1</v>
      </c>
      <c r="BB58" s="124"/>
      <c r="BC58" s="124"/>
      <c r="BD58" s="124">
        <v>77</v>
      </c>
      <c r="BE58" s="124"/>
      <c r="BF58" s="124">
        <v>58.1</v>
      </c>
      <c r="BG58" s="124"/>
      <c r="BH58" s="129">
        <v>7</v>
      </c>
      <c r="BI58" s="124">
        <v>8.1999999999999993</v>
      </c>
    </row>
    <row r="59" spans="1:67">
      <c r="F59" s="4" t="s">
        <v>608</v>
      </c>
      <c r="G59" s="123">
        <v>0</v>
      </c>
      <c r="H59" s="123" t="s">
        <v>610</v>
      </c>
      <c r="I59" s="123">
        <v>13</v>
      </c>
      <c r="J59" s="142">
        <v>7</v>
      </c>
      <c r="K59" s="142">
        <v>1</v>
      </c>
      <c r="L59" s="142">
        <v>497</v>
      </c>
      <c r="M59" s="142">
        <v>27</v>
      </c>
      <c r="N59" s="147">
        <v>12</v>
      </c>
      <c r="O59" s="124">
        <v>8</v>
      </c>
      <c r="P59" s="123">
        <v>10.5</v>
      </c>
      <c r="Q59" s="123">
        <v>108.2</v>
      </c>
      <c r="R59" s="123"/>
      <c r="S59" s="125">
        <v>61</v>
      </c>
      <c r="T59" s="125">
        <f t="shared" si="33"/>
        <v>622.19999999999993</v>
      </c>
      <c r="U59" s="126">
        <f t="shared" si="34"/>
        <v>0</v>
      </c>
      <c r="V59" s="126">
        <f t="shared" si="35"/>
        <v>0</v>
      </c>
      <c r="W59" s="126">
        <v>0.53</v>
      </c>
      <c r="X59" s="127">
        <f>IF(G59=0,$T$10*W59,$T$11*W59)</f>
        <v>263.2722</v>
      </c>
      <c r="Y59" s="125">
        <v>40.700000000000003</v>
      </c>
      <c r="Z59" s="148">
        <f t="shared" si="36"/>
        <v>0</v>
      </c>
      <c r="AA59" s="128"/>
      <c r="AB59" s="124">
        <v>45</v>
      </c>
      <c r="AC59" s="124">
        <v>90</v>
      </c>
      <c r="AD59" s="147" t="s">
        <v>630</v>
      </c>
      <c r="AE59" s="124">
        <v>14881</v>
      </c>
      <c r="AF59" s="124">
        <v>14937</v>
      </c>
      <c r="AG59" s="124">
        <v>6741.6</v>
      </c>
      <c r="AH59" s="124"/>
      <c r="AI59" s="124">
        <v>8195.9</v>
      </c>
      <c r="AJ59" s="124"/>
      <c r="AK59" s="124"/>
      <c r="AL59" s="124"/>
      <c r="AM59" s="124"/>
      <c r="AN59" s="124">
        <v>6666.7</v>
      </c>
      <c r="AO59" s="124"/>
      <c r="AP59" s="124"/>
      <c r="AQ59" s="124">
        <v>555.6</v>
      </c>
      <c r="AR59" s="124"/>
      <c r="AS59" s="124"/>
      <c r="AT59" s="124"/>
      <c r="AU59" s="124"/>
      <c r="AV59" s="124"/>
      <c r="AW59" s="124"/>
      <c r="AX59" s="124">
        <v>500</v>
      </c>
      <c r="AY59" s="124"/>
      <c r="AZ59" s="124">
        <v>716.4</v>
      </c>
      <c r="BA59" s="124">
        <v>708.6</v>
      </c>
      <c r="BB59" s="124"/>
      <c r="BC59" s="124"/>
      <c r="BD59" s="124">
        <v>60.9</v>
      </c>
      <c r="BE59" s="124"/>
      <c r="BF59" s="124">
        <v>48</v>
      </c>
      <c r="BG59" s="124"/>
      <c r="BH59" s="129">
        <v>7</v>
      </c>
      <c r="BI59" s="149">
        <v>6</v>
      </c>
    </row>
    <row r="60" spans="1:67">
      <c r="B60" s="64" t="s">
        <v>634</v>
      </c>
      <c r="F60" s="68" t="s">
        <v>608</v>
      </c>
      <c r="G60" s="80">
        <v>0</v>
      </c>
      <c r="H60" s="80" t="s">
        <v>610</v>
      </c>
      <c r="I60" s="80">
        <v>12</v>
      </c>
      <c r="J60" s="82">
        <v>7</v>
      </c>
      <c r="K60" s="80">
        <v>2</v>
      </c>
      <c r="L60" s="82">
        <v>497</v>
      </c>
      <c r="M60" s="80">
        <v>54</v>
      </c>
      <c r="N60" s="81">
        <v>24</v>
      </c>
      <c r="O60" s="81">
        <v>8</v>
      </c>
      <c r="P60" s="80">
        <v>10.5</v>
      </c>
      <c r="Q60" s="80">
        <v>71</v>
      </c>
      <c r="R60" s="80"/>
      <c r="S60" s="86">
        <v>40.200000000000003</v>
      </c>
      <c r="T60" s="86">
        <f t="shared" si="33"/>
        <v>410.04</v>
      </c>
      <c r="U60" s="90">
        <f t="shared" si="34"/>
        <v>0</v>
      </c>
      <c r="V60" s="90">
        <f t="shared" si="35"/>
        <v>0</v>
      </c>
      <c r="W60" s="90">
        <v>0.37</v>
      </c>
      <c r="X60" s="90">
        <f>IF(G60=0,$T$10*W60,$T$11*W60)</f>
        <v>183.7938</v>
      </c>
      <c r="Y60" s="86">
        <v>26.8</v>
      </c>
      <c r="Z60" s="87">
        <f t="shared" si="36"/>
        <v>0</v>
      </c>
      <c r="AA60" s="95"/>
      <c r="AB60" s="81">
        <v>45</v>
      </c>
      <c r="AC60" s="81">
        <v>90</v>
      </c>
      <c r="AD60" s="81" t="s">
        <v>607</v>
      </c>
      <c r="AE60" s="81">
        <v>15000</v>
      </c>
      <c r="AF60" s="81">
        <v>15153</v>
      </c>
      <c r="AG60" s="81">
        <v>6839.1</v>
      </c>
      <c r="AH60" s="81"/>
      <c r="AI60" s="81">
        <v>8314</v>
      </c>
      <c r="AJ60" s="81"/>
      <c r="AK60" s="81"/>
      <c r="AL60" s="81"/>
      <c r="AM60" s="81"/>
      <c r="AN60" s="81">
        <v>6666.7</v>
      </c>
      <c r="AO60" s="81"/>
      <c r="AP60" s="81"/>
      <c r="AQ60" s="81">
        <v>1528</v>
      </c>
      <c r="AR60" s="81"/>
      <c r="AS60" s="81"/>
      <c r="AT60" s="81"/>
      <c r="AU60" s="81"/>
      <c r="AV60" s="81"/>
      <c r="AW60" s="81"/>
      <c r="AX60" s="81">
        <v>1375</v>
      </c>
      <c r="AY60" s="81"/>
      <c r="AZ60" s="81">
        <v>721</v>
      </c>
      <c r="BA60" s="81">
        <v>713</v>
      </c>
      <c r="BB60" s="81"/>
      <c r="BC60" s="81"/>
      <c r="BD60" s="81">
        <v>76.599999999999994</v>
      </c>
      <c r="BE60" s="81"/>
      <c r="BF60" s="81">
        <v>56.1</v>
      </c>
      <c r="BG60" s="81"/>
      <c r="BH60" s="96">
        <v>7.1</v>
      </c>
      <c r="BI60" s="81">
        <v>8.1999999999999993</v>
      </c>
    </row>
    <row r="61" spans="1:67">
      <c r="F61" s="4" t="s">
        <v>608</v>
      </c>
      <c r="G61" s="123">
        <v>0</v>
      </c>
      <c r="H61" s="123" t="s">
        <v>610</v>
      </c>
      <c r="I61" s="123">
        <v>10</v>
      </c>
      <c r="J61" s="142">
        <v>7</v>
      </c>
      <c r="K61" s="123">
        <v>2</v>
      </c>
      <c r="L61" s="142">
        <v>497</v>
      </c>
      <c r="M61" s="123">
        <v>54</v>
      </c>
      <c r="N61" s="124">
        <v>24</v>
      </c>
      <c r="O61" s="124">
        <v>8</v>
      </c>
      <c r="P61" s="123">
        <v>10.5</v>
      </c>
      <c r="Q61" s="123">
        <v>72</v>
      </c>
      <c r="R61" s="123"/>
      <c r="S61" s="125">
        <v>40.700000000000003</v>
      </c>
      <c r="T61" s="125">
        <f t="shared" si="33"/>
        <v>415.14</v>
      </c>
      <c r="U61" s="126">
        <f t="shared" si="34"/>
        <v>0</v>
      </c>
      <c r="V61" s="126">
        <f t="shared" si="35"/>
        <v>0</v>
      </c>
      <c r="W61" s="126">
        <v>0.36</v>
      </c>
      <c r="X61" s="130">
        <f>IF(G61=0,$T$10*W61,$T$11*W61)</f>
        <v>178.82640000000001</v>
      </c>
      <c r="Y61" s="125">
        <v>27.1</v>
      </c>
      <c r="Z61" s="131">
        <f t="shared" si="36"/>
        <v>0</v>
      </c>
      <c r="AA61" s="128"/>
      <c r="AB61" s="124">
        <v>45</v>
      </c>
      <c r="AC61" s="124">
        <v>90</v>
      </c>
      <c r="AD61" s="124" t="s">
        <v>607</v>
      </c>
      <c r="AE61" s="124">
        <v>14975</v>
      </c>
      <c r="AF61" s="124">
        <v>15107</v>
      </c>
      <c r="AG61" s="124">
        <v>6818</v>
      </c>
      <c r="AH61" s="124"/>
      <c r="AI61" s="124">
        <v>8289</v>
      </c>
      <c r="AJ61" s="124"/>
      <c r="AK61" s="124"/>
      <c r="AL61" s="124"/>
      <c r="AM61" s="124"/>
      <c r="AN61" s="124">
        <v>6666.7</v>
      </c>
      <c r="AO61" s="124"/>
      <c r="AP61" s="124"/>
      <c r="AQ61" s="124">
        <v>1319</v>
      </c>
      <c r="AR61" s="124"/>
      <c r="AS61" s="124"/>
      <c r="AT61" s="124"/>
      <c r="AU61" s="124"/>
      <c r="AV61" s="124"/>
      <c r="AW61" s="124"/>
      <c r="AX61" s="124">
        <v>1188</v>
      </c>
      <c r="AY61" s="124"/>
      <c r="AZ61" s="124">
        <v>735</v>
      </c>
      <c r="BA61" s="124">
        <v>727</v>
      </c>
      <c r="BB61" s="124"/>
      <c r="BC61" s="124"/>
      <c r="BD61" s="124">
        <v>69.7</v>
      </c>
      <c r="BE61" s="124"/>
      <c r="BF61" s="124">
        <v>52.3</v>
      </c>
      <c r="BG61" s="124"/>
      <c r="BH61" s="129">
        <v>7</v>
      </c>
      <c r="BI61" s="124">
        <v>7.1</v>
      </c>
    </row>
    <row r="62" spans="1:67">
      <c r="F62" s="4" t="s">
        <v>608</v>
      </c>
      <c r="G62" s="123">
        <v>0</v>
      </c>
      <c r="H62" s="123" t="s">
        <v>610</v>
      </c>
      <c r="I62" s="123">
        <v>8</v>
      </c>
      <c r="J62" s="142">
        <v>7</v>
      </c>
      <c r="K62" s="123">
        <v>2</v>
      </c>
      <c r="L62" s="142">
        <v>497</v>
      </c>
      <c r="M62" s="123">
        <v>54</v>
      </c>
      <c r="N62" s="124">
        <v>24</v>
      </c>
      <c r="O62" s="124">
        <v>8</v>
      </c>
      <c r="P62" s="123">
        <v>10.5</v>
      </c>
      <c r="Q62" s="123">
        <v>72</v>
      </c>
      <c r="R62" s="123"/>
      <c r="S62" s="125">
        <v>40.5</v>
      </c>
      <c r="T62" s="125">
        <f t="shared" si="33"/>
        <v>413.09999999999997</v>
      </c>
      <c r="U62" s="126">
        <f t="shared" si="34"/>
        <v>0</v>
      </c>
      <c r="V62" s="126">
        <f t="shared" si="35"/>
        <v>0</v>
      </c>
      <c r="W62" s="126">
        <v>0.35</v>
      </c>
      <c r="X62" s="130">
        <f>IF(G62=0,$T$10*W62,$T$11*W62)</f>
        <v>173.85899999999998</v>
      </c>
      <c r="Y62" s="125">
        <v>27</v>
      </c>
      <c r="Z62" s="131">
        <f t="shared" si="36"/>
        <v>0</v>
      </c>
      <c r="AA62" s="128"/>
      <c r="AB62" s="124">
        <v>45</v>
      </c>
      <c r="AC62" s="124">
        <v>90</v>
      </c>
      <c r="AD62" s="124" t="s">
        <v>607</v>
      </c>
      <c r="AE62" s="124">
        <v>14949</v>
      </c>
      <c r="AF62" s="124">
        <v>15060</v>
      </c>
      <c r="AG62" s="124">
        <v>6797</v>
      </c>
      <c r="AH62" s="124"/>
      <c r="AI62" s="124">
        <v>8264</v>
      </c>
      <c r="AJ62" s="124"/>
      <c r="AK62" s="124"/>
      <c r="AL62" s="124"/>
      <c r="AM62" s="124"/>
      <c r="AN62" s="124">
        <v>6666.7</v>
      </c>
      <c r="AO62" s="124"/>
      <c r="AP62" s="124"/>
      <c r="AQ62" s="124">
        <v>1111</v>
      </c>
      <c r="AR62" s="124"/>
      <c r="AS62" s="124"/>
      <c r="AT62" s="124"/>
      <c r="AU62" s="124"/>
      <c r="AV62" s="124"/>
      <c r="AW62" s="124"/>
      <c r="AX62" s="124">
        <v>1000</v>
      </c>
      <c r="AY62" s="124"/>
      <c r="AZ62" s="124">
        <v>752.5</v>
      </c>
      <c r="BA62" s="124">
        <v>744.5</v>
      </c>
      <c r="BB62" s="124"/>
      <c r="BC62" s="124"/>
      <c r="BD62" s="124">
        <v>62.1</v>
      </c>
      <c r="BE62" s="124"/>
      <c r="BF62" s="124">
        <v>47.7</v>
      </c>
      <c r="BG62" s="124"/>
      <c r="BH62" s="129">
        <v>7</v>
      </c>
      <c r="BI62" s="124">
        <v>6</v>
      </c>
    </row>
    <row r="63" spans="1:67">
      <c r="F63" s="4"/>
      <c r="G63" s="123"/>
      <c r="H63" s="123"/>
      <c r="I63" s="123"/>
      <c r="J63" s="142"/>
      <c r="K63" s="123"/>
      <c r="L63" s="142"/>
      <c r="M63" s="123"/>
      <c r="N63" s="124"/>
      <c r="O63" s="124"/>
      <c r="P63" s="123"/>
      <c r="Q63" s="123"/>
      <c r="R63" s="123"/>
      <c r="S63" s="125"/>
      <c r="T63" s="125"/>
      <c r="U63" s="126" t="s">
        <v>46</v>
      </c>
      <c r="V63" s="126"/>
      <c r="W63" s="126"/>
      <c r="X63" s="130"/>
      <c r="Y63" s="125"/>
      <c r="Z63" s="131">
        <f t="shared" si="36"/>
        <v>0</v>
      </c>
      <c r="AA63" s="128"/>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9"/>
      <c r="BI63" s="124"/>
    </row>
    <row r="64" spans="1:67">
      <c r="F64" s="133" t="s">
        <v>608</v>
      </c>
      <c r="G64" s="134">
        <v>0</v>
      </c>
      <c r="H64" s="134" t="s">
        <v>612</v>
      </c>
      <c r="I64" s="134">
        <v>18</v>
      </c>
      <c r="J64" s="144">
        <v>7</v>
      </c>
      <c r="K64" s="134">
        <v>2</v>
      </c>
      <c r="L64" s="144">
        <v>497</v>
      </c>
      <c r="M64" s="134">
        <v>54</v>
      </c>
      <c r="N64" s="135">
        <v>24</v>
      </c>
      <c r="O64" s="135">
        <v>8</v>
      </c>
      <c r="P64" s="134">
        <v>10.5</v>
      </c>
      <c r="Q64" s="134">
        <v>64</v>
      </c>
      <c r="R64" s="134"/>
      <c r="S64" s="136">
        <v>36.200000000000003</v>
      </c>
      <c r="T64" s="136">
        <f>IF(G64=0,$P$10*S64,$P$11*S64)</f>
        <v>369.24</v>
      </c>
      <c r="U64" s="126">
        <f t="shared" ref="U64:U71" si="37">IF(H64="Max",S64/21000*110*$R$376,S64/19030*71*$R$376)</f>
        <v>0</v>
      </c>
      <c r="V64" s="137">
        <f>IF(G64=0,$R$10*U64,$R$11*U64)</f>
        <v>0</v>
      </c>
      <c r="W64" s="137">
        <v>0.38</v>
      </c>
      <c r="X64" s="138">
        <f t="shared" ref="X64:X80" si="38">IF(G64=0,$T$10*W64,$T$11*W64)</f>
        <v>188.7612</v>
      </c>
      <c r="Y64" s="136">
        <v>24.1</v>
      </c>
      <c r="Z64" s="136">
        <f t="shared" si="36"/>
        <v>0</v>
      </c>
      <c r="AA64" s="139"/>
      <c r="AB64" s="135">
        <v>45</v>
      </c>
      <c r="AC64" s="135">
        <v>90</v>
      </c>
      <c r="AD64" s="135" t="s">
        <v>607</v>
      </c>
      <c r="AE64" s="135">
        <v>15085</v>
      </c>
      <c r="AF64" s="135">
        <v>15307</v>
      </c>
      <c r="AG64" s="135">
        <v>6909</v>
      </c>
      <c r="AH64" s="135"/>
      <c r="AI64" s="135">
        <v>8399</v>
      </c>
      <c r="AJ64" s="135"/>
      <c r="AK64" s="135"/>
      <c r="AL64" s="135"/>
      <c r="AM64" s="135"/>
      <c r="AN64" s="135">
        <v>6666.7</v>
      </c>
      <c r="AO64" s="135"/>
      <c r="AP64" s="135"/>
      <c r="AQ64" s="135">
        <v>2222</v>
      </c>
      <c r="AR64" s="135"/>
      <c r="AS64" s="135"/>
      <c r="AT64" s="135"/>
      <c r="AU64" s="135"/>
      <c r="AV64" s="135"/>
      <c r="AW64" s="135"/>
      <c r="AX64" s="135">
        <v>2000</v>
      </c>
      <c r="AY64" s="135"/>
      <c r="AZ64" s="135">
        <v>668.4</v>
      </c>
      <c r="BA64" s="135">
        <v>660.5</v>
      </c>
      <c r="BB64" s="135"/>
      <c r="BC64" s="135"/>
      <c r="BD64" s="135">
        <v>96</v>
      </c>
      <c r="BE64" s="135"/>
      <c r="BF64" s="135">
        <v>64.099999999999994</v>
      </c>
      <c r="BG64" s="135"/>
      <c r="BH64" s="140">
        <v>7.1</v>
      </c>
      <c r="BI64" s="135">
        <v>12</v>
      </c>
    </row>
    <row r="65" spans="6:61">
      <c r="F65" s="4" t="s">
        <v>608</v>
      </c>
      <c r="G65" s="123">
        <v>0</v>
      </c>
      <c r="H65" s="123" t="s">
        <v>612</v>
      </c>
      <c r="I65" s="123">
        <v>18</v>
      </c>
      <c r="J65" s="142">
        <v>7</v>
      </c>
      <c r="K65" s="123">
        <v>2</v>
      </c>
      <c r="L65" s="142">
        <v>497</v>
      </c>
      <c r="M65" s="123">
        <v>54</v>
      </c>
      <c r="N65" s="124">
        <v>24</v>
      </c>
      <c r="O65" s="124">
        <v>8</v>
      </c>
      <c r="P65" s="123">
        <v>10.5</v>
      </c>
      <c r="Q65" s="123">
        <v>95.1</v>
      </c>
      <c r="R65" s="123"/>
      <c r="S65" s="125">
        <v>35.799999999999997</v>
      </c>
      <c r="T65" s="125">
        <f t="shared" ref="T65:T80" si="39">IF(G65=0,$P$10*S65,$P$11*S65)</f>
        <v>365.15999999999997</v>
      </c>
      <c r="U65" s="126">
        <f t="shared" si="37"/>
        <v>0</v>
      </c>
      <c r="V65" s="126">
        <f t="shared" ref="V65:V80" si="40">IF(G65=0,$R$10*U65,$R$11*U65)</f>
        <v>0</v>
      </c>
      <c r="W65" s="126">
        <v>0.53</v>
      </c>
      <c r="X65" s="127">
        <f t="shared" si="38"/>
        <v>263.2722</v>
      </c>
      <c r="Y65" s="125">
        <v>35.799999999999997</v>
      </c>
      <c r="Z65" s="125">
        <f t="shared" si="36"/>
        <v>0</v>
      </c>
      <c r="AA65" s="128"/>
      <c r="AB65" s="124">
        <v>45</v>
      </c>
      <c r="AC65" s="124">
        <v>90</v>
      </c>
      <c r="AD65" s="124" t="s">
        <v>607</v>
      </c>
      <c r="AE65" s="124">
        <v>14966</v>
      </c>
      <c r="AF65" s="124">
        <v>15091</v>
      </c>
      <c r="AG65" s="124">
        <v>6811</v>
      </c>
      <c r="AH65" s="124"/>
      <c r="AI65" s="124">
        <v>8280.6</v>
      </c>
      <c r="AJ65" s="124"/>
      <c r="AK65" s="124"/>
      <c r="AL65" s="124"/>
      <c r="AM65" s="124"/>
      <c r="AN65" s="124">
        <v>6666.7</v>
      </c>
      <c r="AO65" s="124"/>
      <c r="AP65" s="124"/>
      <c r="AQ65" s="124">
        <v>1250</v>
      </c>
      <c r="AR65" s="124"/>
      <c r="AS65" s="124"/>
      <c r="AT65" s="124"/>
      <c r="AU65" s="124"/>
      <c r="AV65" s="124"/>
      <c r="AW65" s="124"/>
      <c r="AX65" s="124">
        <v>1125</v>
      </c>
      <c r="AY65" s="124"/>
      <c r="AZ65" s="124">
        <v>670</v>
      </c>
      <c r="BA65" s="124">
        <v>662.3</v>
      </c>
      <c r="BB65" s="124"/>
      <c r="BC65" s="124"/>
      <c r="BD65" s="124">
        <v>61.4</v>
      </c>
      <c r="BE65" s="124"/>
      <c r="BF65" s="124">
        <v>47.3</v>
      </c>
      <c r="BG65" s="124"/>
      <c r="BH65" s="129">
        <v>7</v>
      </c>
      <c r="BI65" s="124">
        <v>6.7</v>
      </c>
    </row>
    <row r="66" spans="6:61">
      <c r="F66" s="133" t="s">
        <v>608</v>
      </c>
      <c r="G66" s="134">
        <v>0</v>
      </c>
      <c r="H66" s="134" t="s">
        <v>612</v>
      </c>
      <c r="I66" s="134">
        <v>15</v>
      </c>
      <c r="J66" s="144">
        <v>7</v>
      </c>
      <c r="K66" s="134">
        <v>2</v>
      </c>
      <c r="L66" s="144">
        <v>497</v>
      </c>
      <c r="M66" s="134">
        <v>54</v>
      </c>
      <c r="N66" s="135">
        <v>24</v>
      </c>
      <c r="O66" s="135">
        <v>8</v>
      </c>
      <c r="P66" s="134">
        <v>10.5</v>
      </c>
      <c r="Q66" s="134">
        <v>69</v>
      </c>
      <c r="R66" s="134"/>
      <c r="S66" s="136">
        <v>38.9</v>
      </c>
      <c r="T66" s="136">
        <f t="shared" si="39"/>
        <v>396.78</v>
      </c>
      <c r="U66" s="126">
        <f t="shared" si="37"/>
        <v>0</v>
      </c>
      <c r="V66" s="137">
        <f t="shared" si="40"/>
        <v>0</v>
      </c>
      <c r="W66" s="137">
        <v>0.38</v>
      </c>
      <c r="X66" s="138">
        <f t="shared" si="38"/>
        <v>188.7612</v>
      </c>
      <c r="Y66" s="136">
        <v>25.9</v>
      </c>
      <c r="Z66" s="136">
        <f t="shared" si="36"/>
        <v>0</v>
      </c>
      <c r="AA66" s="139"/>
      <c r="AB66" s="135">
        <v>45</v>
      </c>
      <c r="AC66" s="135">
        <v>90</v>
      </c>
      <c r="AD66" s="135" t="s">
        <v>607</v>
      </c>
      <c r="AE66" s="135">
        <v>15034</v>
      </c>
      <c r="AF66" s="135">
        <v>15215</v>
      </c>
      <c r="AG66" s="135">
        <v>6867</v>
      </c>
      <c r="AH66" s="135"/>
      <c r="AI66" s="135">
        <v>8348</v>
      </c>
      <c r="AJ66" s="135"/>
      <c r="AK66" s="135"/>
      <c r="AL66" s="135"/>
      <c r="AM66" s="135"/>
      <c r="AN66" s="135">
        <v>6666.7</v>
      </c>
      <c r="AO66" s="135"/>
      <c r="AP66" s="135"/>
      <c r="AQ66" s="135">
        <v>1806</v>
      </c>
      <c r="AR66" s="135"/>
      <c r="AS66" s="135"/>
      <c r="AT66" s="135"/>
      <c r="AU66" s="135"/>
      <c r="AV66" s="135"/>
      <c r="AW66" s="135"/>
      <c r="AX66" s="135">
        <v>1625</v>
      </c>
      <c r="AY66" s="135"/>
      <c r="AZ66" s="135">
        <v>679.4</v>
      </c>
      <c r="BA66" s="135">
        <v>671.5</v>
      </c>
      <c r="BB66" s="135"/>
      <c r="BC66" s="135"/>
      <c r="BD66" s="135">
        <v>83.8</v>
      </c>
      <c r="BE66" s="135"/>
      <c r="BF66" s="135">
        <v>58.9</v>
      </c>
      <c r="BG66" s="135"/>
      <c r="BH66" s="140">
        <v>7.1</v>
      </c>
      <c r="BI66" s="135">
        <v>9.6999999999999993</v>
      </c>
    </row>
    <row r="67" spans="6:61">
      <c r="F67" s="4" t="s">
        <v>608</v>
      </c>
      <c r="G67" s="123">
        <v>0</v>
      </c>
      <c r="H67" s="123" t="s">
        <v>612</v>
      </c>
      <c r="I67" s="123">
        <v>15</v>
      </c>
      <c r="J67" s="142">
        <v>7</v>
      </c>
      <c r="K67" s="123">
        <v>2</v>
      </c>
      <c r="L67" s="142">
        <v>497</v>
      </c>
      <c r="M67" s="123">
        <v>54</v>
      </c>
      <c r="N67" s="124">
        <v>24</v>
      </c>
      <c r="O67" s="124">
        <v>8</v>
      </c>
      <c r="P67" s="123">
        <v>10.5</v>
      </c>
      <c r="Q67" s="123">
        <v>101.8</v>
      </c>
      <c r="R67" s="123"/>
      <c r="S67" s="125">
        <v>57.5</v>
      </c>
      <c r="T67" s="125">
        <f t="shared" si="39"/>
        <v>586.5</v>
      </c>
      <c r="U67" s="126">
        <f t="shared" si="37"/>
        <v>0</v>
      </c>
      <c r="V67" s="126">
        <f t="shared" si="40"/>
        <v>0</v>
      </c>
      <c r="W67" s="126">
        <v>0.53</v>
      </c>
      <c r="X67" s="127">
        <f t="shared" si="38"/>
        <v>263.2722</v>
      </c>
      <c r="Y67" s="125">
        <v>38.299999999999997</v>
      </c>
      <c r="Z67" s="125">
        <f t="shared" si="36"/>
        <v>0</v>
      </c>
      <c r="AA67" s="128"/>
      <c r="AB67" s="124">
        <v>45</v>
      </c>
      <c r="AC67" s="124">
        <v>90</v>
      </c>
      <c r="AD67" s="124" t="s">
        <v>607</v>
      </c>
      <c r="AE67" s="124">
        <v>14915</v>
      </c>
      <c r="AF67" s="124">
        <v>14999</v>
      </c>
      <c r="AG67" s="124">
        <v>6769.4</v>
      </c>
      <c r="AH67" s="124"/>
      <c r="AI67" s="124">
        <v>8229.7999999999993</v>
      </c>
      <c r="AJ67" s="124"/>
      <c r="AK67" s="124"/>
      <c r="AL67" s="124"/>
      <c r="AM67" s="124"/>
      <c r="AN67" s="124">
        <v>6666.7</v>
      </c>
      <c r="AO67" s="124"/>
      <c r="AP67" s="124"/>
      <c r="AQ67" s="124">
        <v>833.3</v>
      </c>
      <c r="AR67" s="124"/>
      <c r="AS67" s="124"/>
      <c r="AT67" s="124"/>
      <c r="AU67" s="124"/>
      <c r="AV67" s="124"/>
      <c r="AW67" s="124"/>
      <c r="AX67" s="124">
        <v>750</v>
      </c>
      <c r="AY67" s="124"/>
      <c r="AZ67" s="124">
        <v>680.3</v>
      </c>
      <c r="BA67" s="124">
        <v>672.5</v>
      </c>
      <c r="BB67" s="124"/>
      <c r="BC67" s="124"/>
      <c r="BD67" s="124">
        <v>48.3</v>
      </c>
      <c r="BE67" s="124"/>
      <c r="BF67" s="124">
        <v>39.5</v>
      </c>
      <c r="BG67" s="124"/>
      <c r="BH67" s="129">
        <v>7</v>
      </c>
      <c r="BI67" s="124">
        <v>4.5</v>
      </c>
    </row>
    <row r="68" spans="6:61">
      <c r="F68" s="4" t="s">
        <v>608</v>
      </c>
      <c r="G68" s="123">
        <v>0</v>
      </c>
      <c r="H68" s="123" t="s">
        <v>612</v>
      </c>
      <c r="I68" s="123">
        <v>13</v>
      </c>
      <c r="J68" s="142">
        <v>7</v>
      </c>
      <c r="K68" s="123">
        <v>2</v>
      </c>
      <c r="L68" s="142">
        <v>497</v>
      </c>
      <c r="M68" s="123">
        <v>54</v>
      </c>
      <c r="N68" s="124">
        <v>24</v>
      </c>
      <c r="O68" s="124">
        <v>8</v>
      </c>
      <c r="P68" s="123">
        <v>10.5</v>
      </c>
      <c r="Q68" s="123">
        <v>104</v>
      </c>
      <c r="R68" s="123"/>
      <c r="S68" s="125">
        <v>58.7</v>
      </c>
      <c r="T68" s="125">
        <f t="shared" si="39"/>
        <v>598.74</v>
      </c>
      <c r="U68" s="126">
        <f t="shared" si="37"/>
        <v>0</v>
      </c>
      <c r="V68" s="126">
        <f t="shared" si="40"/>
        <v>0</v>
      </c>
      <c r="W68" s="126">
        <v>0.52</v>
      </c>
      <c r="X68" s="126">
        <f t="shared" si="38"/>
        <v>258.3048</v>
      </c>
      <c r="Y68" s="125">
        <v>39.1</v>
      </c>
      <c r="Z68" s="131">
        <f t="shared" si="36"/>
        <v>0</v>
      </c>
      <c r="AA68" s="128"/>
      <c r="AB68" s="124">
        <v>45</v>
      </c>
      <c r="AC68" s="124">
        <v>90</v>
      </c>
      <c r="AD68" s="124" t="s">
        <v>607</v>
      </c>
      <c r="AE68" s="124">
        <v>14890</v>
      </c>
      <c r="AF68" s="124">
        <v>14952</v>
      </c>
      <c r="AG68" s="124">
        <v>6748.5</v>
      </c>
      <c r="AH68" s="124"/>
      <c r="AI68" s="124">
        <v>8204.4</v>
      </c>
      <c r="AJ68" s="124"/>
      <c r="AK68" s="124"/>
      <c r="AL68" s="124"/>
      <c r="AM68" s="124"/>
      <c r="AN68" s="124">
        <v>6666.7</v>
      </c>
      <c r="AO68" s="124"/>
      <c r="AP68" s="124"/>
      <c r="AQ68" s="124">
        <v>625</v>
      </c>
      <c r="AR68" s="124"/>
      <c r="AS68" s="124"/>
      <c r="AT68" s="124"/>
      <c r="AU68" s="124"/>
      <c r="AV68" s="124"/>
      <c r="AW68" s="124"/>
      <c r="AX68" s="124">
        <v>562.5</v>
      </c>
      <c r="AY68" s="124"/>
      <c r="AZ68" s="124">
        <v>690.2</v>
      </c>
      <c r="BA68" s="124">
        <v>682.4</v>
      </c>
      <c r="BB68" s="124"/>
      <c r="BC68" s="124"/>
      <c r="BD68" s="124">
        <v>40.5</v>
      </c>
      <c r="BE68" s="124"/>
      <c r="BF68" s="124">
        <v>33.799999999999997</v>
      </c>
      <c r="BG68" s="124"/>
      <c r="BH68" s="129">
        <v>7</v>
      </c>
      <c r="BI68" s="124">
        <v>3.4</v>
      </c>
    </row>
    <row r="69" spans="6:61">
      <c r="F69" s="4" t="s">
        <v>608</v>
      </c>
      <c r="G69" s="123">
        <v>0</v>
      </c>
      <c r="H69" s="123" t="s">
        <v>612</v>
      </c>
      <c r="I69" s="123">
        <v>12</v>
      </c>
      <c r="J69" s="142">
        <v>7</v>
      </c>
      <c r="K69" s="123">
        <v>2</v>
      </c>
      <c r="L69" s="142">
        <v>497</v>
      </c>
      <c r="M69" s="123">
        <v>54</v>
      </c>
      <c r="N69" s="124">
        <v>24</v>
      </c>
      <c r="O69" s="124">
        <v>8</v>
      </c>
      <c r="P69" s="123">
        <v>10.5</v>
      </c>
      <c r="Q69" s="123">
        <v>73</v>
      </c>
      <c r="R69" s="123"/>
      <c r="S69" s="125">
        <v>40</v>
      </c>
      <c r="T69" s="125">
        <f t="shared" si="39"/>
        <v>408</v>
      </c>
      <c r="U69" s="126">
        <f t="shared" si="37"/>
        <v>0</v>
      </c>
      <c r="V69" s="126">
        <f t="shared" si="40"/>
        <v>0</v>
      </c>
      <c r="W69" s="126">
        <v>0.37</v>
      </c>
      <c r="X69" s="126">
        <f t="shared" si="38"/>
        <v>183.7938</v>
      </c>
      <c r="Y69" s="125">
        <v>26.6</v>
      </c>
      <c r="Z69" s="131">
        <f t="shared" si="36"/>
        <v>0</v>
      </c>
      <c r="AA69" s="128"/>
      <c r="AB69" s="124">
        <v>45</v>
      </c>
      <c r="AC69" s="124">
        <v>90</v>
      </c>
      <c r="AD69" s="124" t="s">
        <v>607</v>
      </c>
      <c r="AE69" s="124">
        <v>14992</v>
      </c>
      <c r="AF69" s="124">
        <v>15138</v>
      </c>
      <c r="AG69" s="124">
        <v>6832</v>
      </c>
      <c r="AH69" s="124"/>
      <c r="AI69" s="124">
        <v>8306</v>
      </c>
      <c r="AJ69" s="124"/>
      <c r="AK69" s="124"/>
      <c r="AL69" s="124"/>
      <c r="AM69" s="124"/>
      <c r="AN69" s="124">
        <v>6666.7</v>
      </c>
      <c r="AO69" s="124"/>
      <c r="AP69" s="124"/>
      <c r="AQ69" s="124">
        <v>1458</v>
      </c>
      <c r="AR69" s="124"/>
      <c r="AS69" s="124"/>
      <c r="AT69" s="124"/>
      <c r="AU69" s="124"/>
      <c r="AV69" s="124"/>
      <c r="AW69" s="124"/>
      <c r="AX69" s="124">
        <v>1313</v>
      </c>
      <c r="AY69" s="124"/>
      <c r="AZ69" s="124">
        <v>695.1</v>
      </c>
      <c r="BA69" s="124">
        <v>687.2</v>
      </c>
      <c r="BB69" s="124"/>
      <c r="BC69" s="124"/>
      <c r="BD69" s="124">
        <v>73</v>
      </c>
      <c r="BE69" s="124"/>
      <c r="BF69" s="124">
        <v>53.6</v>
      </c>
      <c r="BG69" s="124"/>
      <c r="BH69" s="129">
        <v>7</v>
      </c>
      <c r="BI69" s="124">
        <v>7.9</v>
      </c>
    </row>
    <row r="70" spans="6:61">
      <c r="F70" s="4" t="s">
        <v>608</v>
      </c>
      <c r="G70" s="123">
        <v>0</v>
      </c>
      <c r="H70" s="123" t="s">
        <v>612</v>
      </c>
      <c r="I70" s="123">
        <v>10</v>
      </c>
      <c r="J70" s="142">
        <v>7</v>
      </c>
      <c r="K70" s="123">
        <v>2</v>
      </c>
      <c r="L70" s="142">
        <v>497</v>
      </c>
      <c r="M70" s="123">
        <v>54</v>
      </c>
      <c r="N70" s="124">
        <v>24</v>
      </c>
      <c r="O70" s="124">
        <v>8</v>
      </c>
      <c r="P70" s="123">
        <v>10.5</v>
      </c>
      <c r="Q70" s="123">
        <v>71</v>
      </c>
      <c r="R70" s="123"/>
      <c r="S70" s="125">
        <v>40.200000000000003</v>
      </c>
      <c r="T70" s="125">
        <f t="shared" si="39"/>
        <v>410.04</v>
      </c>
      <c r="U70" s="126">
        <f t="shared" si="37"/>
        <v>0</v>
      </c>
      <c r="V70" s="126">
        <f t="shared" si="40"/>
        <v>0</v>
      </c>
      <c r="W70" s="126">
        <v>0.36</v>
      </c>
      <c r="X70" s="126">
        <f t="shared" si="38"/>
        <v>178.82640000000001</v>
      </c>
      <c r="Y70" s="125">
        <v>26.8</v>
      </c>
      <c r="Z70" s="131">
        <f t="shared" si="36"/>
        <v>0</v>
      </c>
      <c r="AA70" s="128"/>
      <c r="AB70" s="124">
        <v>45</v>
      </c>
      <c r="AC70" s="124">
        <v>90</v>
      </c>
      <c r="AD70" s="124" t="s">
        <v>607</v>
      </c>
      <c r="AE70" s="124">
        <v>14966</v>
      </c>
      <c r="AF70" s="124">
        <v>15091</v>
      </c>
      <c r="AG70" s="124">
        <v>6811</v>
      </c>
      <c r="AH70" s="124"/>
      <c r="AI70" s="124">
        <v>8281</v>
      </c>
      <c r="AJ70" s="124"/>
      <c r="AK70" s="124"/>
      <c r="AL70" s="124"/>
      <c r="AM70" s="124"/>
      <c r="AN70" s="124">
        <v>6666.7</v>
      </c>
      <c r="AO70" s="124"/>
      <c r="AP70" s="124"/>
      <c r="AQ70" s="124">
        <v>1250</v>
      </c>
      <c r="AR70" s="124"/>
      <c r="AS70" s="124"/>
      <c r="AT70" s="124"/>
      <c r="AU70" s="124"/>
      <c r="AV70" s="124"/>
      <c r="AW70" s="124"/>
      <c r="AX70" s="124">
        <v>1125</v>
      </c>
      <c r="AY70" s="124"/>
      <c r="AZ70" s="124">
        <v>709.1</v>
      </c>
      <c r="BA70" s="124">
        <v>701.1</v>
      </c>
      <c r="BB70" s="124"/>
      <c r="BC70" s="124"/>
      <c r="BD70" s="124">
        <v>66</v>
      </c>
      <c r="BE70" s="124"/>
      <c r="BF70" s="124">
        <v>49.6</v>
      </c>
      <c r="BG70" s="124"/>
      <c r="BH70" s="129">
        <v>7</v>
      </c>
      <c r="BI70" s="124">
        <v>6.7</v>
      </c>
    </row>
    <row r="71" spans="6:61">
      <c r="F71" s="4" t="s">
        <v>608</v>
      </c>
      <c r="G71" s="123">
        <v>0</v>
      </c>
      <c r="H71" s="123" t="s">
        <v>612</v>
      </c>
      <c r="I71" s="123">
        <v>8</v>
      </c>
      <c r="J71" s="142">
        <v>7</v>
      </c>
      <c r="K71" s="123">
        <v>2</v>
      </c>
      <c r="L71" s="142">
        <v>497</v>
      </c>
      <c r="M71" s="123">
        <v>54</v>
      </c>
      <c r="N71" s="124">
        <v>24</v>
      </c>
      <c r="O71" s="124">
        <v>8</v>
      </c>
      <c r="P71" s="123">
        <v>10.5</v>
      </c>
      <c r="Q71" s="123">
        <v>71</v>
      </c>
      <c r="R71" s="123"/>
      <c r="S71" s="125">
        <v>40</v>
      </c>
      <c r="T71" s="125">
        <f t="shared" si="39"/>
        <v>408</v>
      </c>
      <c r="U71" s="126">
        <f t="shared" si="37"/>
        <v>0</v>
      </c>
      <c r="V71" s="126">
        <f t="shared" si="40"/>
        <v>0</v>
      </c>
      <c r="W71" s="126">
        <v>0.35</v>
      </c>
      <c r="X71" s="126">
        <f t="shared" si="38"/>
        <v>173.85899999999998</v>
      </c>
      <c r="Y71" s="125">
        <v>26.6</v>
      </c>
      <c r="Z71" s="131">
        <f t="shared" si="36"/>
        <v>0</v>
      </c>
      <c r="AA71" s="128"/>
      <c r="AB71" s="124">
        <v>45</v>
      </c>
      <c r="AC71" s="124">
        <v>90</v>
      </c>
      <c r="AD71" s="124" t="s">
        <v>607</v>
      </c>
      <c r="AE71" s="124">
        <v>14941</v>
      </c>
      <c r="AF71" s="124">
        <v>15045</v>
      </c>
      <c r="AG71" s="124">
        <v>6790</v>
      </c>
      <c r="AH71" s="124"/>
      <c r="AI71" s="124">
        <v>8255</v>
      </c>
      <c r="AJ71" s="124"/>
      <c r="AK71" s="124"/>
      <c r="AL71" s="124"/>
      <c r="AM71" s="124"/>
      <c r="AN71" s="124">
        <v>6666.7</v>
      </c>
      <c r="AO71" s="124"/>
      <c r="AP71" s="124"/>
      <c r="AQ71" s="124">
        <v>1042</v>
      </c>
      <c r="AR71" s="124"/>
      <c r="AS71" s="124"/>
      <c r="AT71" s="124"/>
      <c r="AU71" s="124"/>
      <c r="AV71" s="124"/>
      <c r="AW71" s="124"/>
      <c r="AX71" s="124">
        <v>938</v>
      </c>
      <c r="AY71" s="124"/>
      <c r="AZ71" s="124">
        <v>726.6</v>
      </c>
      <c r="BA71" s="124">
        <v>718.6</v>
      </c>
      <c r="BB71" s="124"/>
      <c r="BC71" s="124"/>
      <c r="BD71" s="124">
        <v>58.3</v>
      </c>
      <c r="BE71" s="124"/>
      <c r="BF71" s="124">
        <v>44.9</v>
      </c>
      <c r="BG71" s="124"/>
      <c r="BH71" s="129">
        <v>7</v>
      </c>
      <c r="BI71" s="124">
        <v>5.6</v>
      </c>
    </row>
    <row r="72" spans="6:61">
      <c r="F72" s="4"/>
      <c r="G72" s="123"/>
      <c r="H72" s="123"/>
      <c r="I72" s="123"/>
      <c r="J72" s="142"/>
      <c r="K72" s="123"/>
      <c r="L72" s="142"/>
      <c r="M72" s="123"/>
      <c r="N72" s="124"/>
      <c r="O72" s="124"/>
      <c r="P72" s="123"/>
      <c r="Q72" s="123"/>
      <c r="R72" s="123"/>
      <c r="S72" s="125"/>
      <c r="T72" s="125">
        <f t="shared" si="39"/>
        <v>0</v>
      </c>
      <c r="U72" s="126" t="s">
        <v>46</v>
      </c>
      <c r="V72" s="126" t="e">
        <f t="shared" si="40"/>
        <v>#VALUE!</v>
      </c>
      <c r="W72" s="126"/>
      <c r="X72" s="126">
        <f t="shared" si="38"/>
        <v>0</v>
      </c>
      <c r="Y72" s="125"/>
      <c r="Z72" s="131">
        <f t="shared" si="36"/>
        <v>0</v>
      </c>
      <c r="AA72" s="128"/>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9"/>
      <c r="BI72" s="124"/>
    </row>
    <row r="73" spans="6:61">
      <c r="F73" s="133" t="s">
        <v>608</v>
      </c>
      <c r="G73" s="134">
        <v>0</v>
      </c>
      <c r="H73" s="134" t="s">
        <v>611</v>
      </c>
      <c r="I73" s="134">
        <v>18</v>
      </c>
      <c r="J73" s="144">
        <v>7</v>
      </c>
      <c r="K73" s="134">
        <v>2</v>
      </c>
      <c r="L73" s="144">
        <v>497</v>
      </c>
      <c r="M73" s="134">
        <v>54</v>
      </c>
      <c r="N73" s="135">
        <v>24</v>
      </c>
      <c r="O73" s="135">
        <v>8</v>
      </c>
      <c r="P73" s="134">
        <v>10.5</v>
      </c>
      <c r="Q73" s="134">
        <v>63</v>
      </c>
      <c r="R73" s="134"/>
      <c r="S73" s="136">
        <v>35.700000000000003</v>
      </c>
      <c r="T73" s="136">
        <f t="shared" si="39"/>
        <v>364.14</v>
      </c>
      <c r="U73" s="126">
        <f t="shared" ref="U73:U80" si="41">IF(H73="Max",S73/21000*110*$R$376,S73/19030*71*$R$376)</f>
        <v>0</v>
      </c>
      <c r="V73" s="137">
        <f t="shared" si="40"/>
        <v>0</v>
      </c>
      <c r="W73" s="137">
        <v>0.38</v>
      </c>
      <c r="X73" s="138">
        <f t="shared" si="38"/>
        <v>188.7612</v>
      </c>
      <c r="Y73" s="136">
        <v>23.8</v>
      </c>
      <c r="Z73" s="136">
        <f t="shared" si="36"/>
        <v>0</v>
      </c>
      <c r="AA73" s="139"/>
      <c r="AB73" s="135">
        <v>45</v>
      </c>
      <c r="AC73" s="135">
        <v>90</v>
      </c>
      <c r="AD73" s="135" t="s">
        <v>607</v>
      </c>
      <c r="AE73" s="135">
        <v>15060</v>
      </c>
      <c r="AF73" s="135">
        <v>15261</v>
      </c>
      <c r="AG73" s="135">
        <v>6888</v>
      </c>
      <c r="AH73" s="135"/>
      <c r="AI73" s="135">
        <v>8374</v>
      </c>
      <c r="AJ73" s="135"/>
      <c r="AK73" s="135"/>
      <c r="AL73" s="135"/>
      <c r="AM73" s="135"/>
      <c r="AN73" s="135">
        <v>6666.7</v>
      </c>
      <c r="AO73" s="135"/>
      <c r="AP73" s="135"/>
      <c r="AQ73" s="135">
        <v>2013.9</v>
      </c>
      <c r="AR73" s="135"/>
      <c r="AS73" s="135"/>
      <c r="AT73" s="135"/>
      <c r="AU73" s="135"/>
      <c r="AV73" s="135"/>
      <c r="AW73" s="135"/>
      <c r="AX73" s="135">
        <v>1813</v>
      </c>
      <c r="AY73" s="135"/>
      <c r="AZ73" s="135">
        <v>591.5</v>
      </c>
      <c r="BA73" s="135">
        <v>583.6</v>
      </c>
      <c r="BB73" s="135"/>
      <c r="BC73" s="135"/>
      <c r="BD73" s="135">
        <v>86.1</v>
      </c>
      <c r="BE73" s="135"/>
      <c r="BF73" s="135">
        <v>57.7</v>
      </c>
      <c r="BG73" s="135"/>
      <c r="BH73" s="140">
        <v>7.1</v>
      </c>
      <c r="BI73" s="135">
        <v>10.9</v>
      </c>
    </row>
    <row r="74" spans="6:61">
      <c r="F74" s="4" t="s">
        <v>608</v>
      </c>
      <c r="G74" s="123">
        <v>0</v>
      </c>
      <c r="H74" s="123" t="s">
        <v>611</v>
      </c>
      <c r="I74" s="123">
        <v>18</v>
      </c>
      <c r="J74" s="142">
        <v>7</v>
      </c>
      <c r="K74" s="123">
        <v>2</v>
      </c>
      <c r="L74" s="142">
        <v>497</v>
      </c>
      <c r="M74" s="123">
        <v>54</v>
      </c>
      <c r="N74" s="124">
        <v>24</v>
      </c>
      <c r="O74" s="124">
        <v>8</v>
      </c>
      <c r="P74" s="123">
        <v>10.5</v>
      </c>
      <c r="Q74" s="123">
        <v>95.5</v>
      </c>
      <c r="R74" s="123"/>
      <c r="S74" s="125">
        <v>53.8</v>
      </c>
      <c r="T74" s="125">
        <f t="shared" si="39"/>
        <v>548.75999999999988</v>
      </c>
      <c r="U74" s="126">
        <f t="shared" si="41"/>
        <v>0</v>
      </c>
      <c r="V74" s="126">
        <f t="shared" si="40"/>
        <v>0</v>
      </c>
      <c r="W74" s="126">
        <v>0.53</v>
      </c>
      <c r="X74" s="127">
        <f t="shared" si="38"/>
        <v>263.2722</v>
      </c>
      <c r="Y74" s="125">
        <v>35.9</v>
      </c>
      <c r="Z74" s="125">
        <f t="shared" si="36"/>
        <v>0</v>
      </c>
      <c r="AA74" s="128"/>
      <c r="AB74" s="124">
        <v>45</v>
      </c>
      <c r="AC74" s="124">
        <v>90</v>
      </c>
      <c r="AD74" s="124" t="s">
        <v>607</v>
      </c>
      <c r="AE74" s="124">
        <v>14932</v>
      </c>
      <c r="AF74" s="124">
        <v>15030</v>
      </c>
      <c r="AG74" s="124">
        <v>6783.4</v>
      </c>
      <c r="AH74" s="124"/>
      <c r="AI74" s="124">
        <v>8246.7000000000007</v>
      </c>
      <c r="AJ74" s="124"/>
      <c r="AK74" s="124"/>
      <c r="AL74" s="124"/>
      <c r="AM74" s="124"/>
      <c r="AN74" s="124">
        <v>6666.7</v>
      </c>
      <c r="AO74" s="124"/>
      <c r="AP74" s="124"/>
      <c r="AQ74" s="124">
        <v>972.2</v>
      </c>
      <c r="AR74" s="124"/>
      <c r="AS74" s="124"/>
      <c r="AT74" s="124"/>
      <c r="AU74" s="124"/>
      <c r="AV74" s="124"/>
      <c r="AW74" s="124"/>
      <c r="AX74" s="124">
        <v>875</v>
      </c>
      <c r="AY74" s="124"/>
      <c r="AZ74" s="124">
        <v>592.70000000000005</v>
      </c>
      <c r="BA74" s="124">
        <v>584.9</v>
      </c>
      <c r="BB74" s="124"/>
      <c r="BC74" s="124"/>
      <c r="BD74" s="124">
        <v>49.7</v>
      </c>
      <c r="BE74" s="124"/>
      <c r="BF74" s="124">
        <v>39.200000000000003</v>
      </c>
      <c r="BG74" s="124"/>
      <c r="BH74" s="75">
        <v>7</v>
      </c>
      <c r="BI74" s="124">
        <v>5.2</v>
      </c>
    </row>
    <row r="75" spans="6:61">
      <c r="F75" s="133" t="s">
        <v>608</v>
      </c>
      <c r="G75" s="134">
        <v>0</v>
      </c>
      <c r="H75" s="134" t="s">
        <v>611</v>
      </c>
      <c r="I75" s="134">
        <v>15</v>
      </c>
      <c r="J75" s="144">
        <v>7</v>
      </c>
      <c r="K75" s="134">
        <v>2</v>
      </c>
      <c r="L75" s="144">
        <v>497</v>
      </c>
      <c r="M75" s="134">
        <v>54</v>
      </c>
      <c r="N75" s="135">
        <v>24</v>
      </c>
      <c r="O75" s="135">
        <v>8</v>
      </c>
      <c r="P75" s="134">
        <v>10.5</v>
      </c>
      <c r="Q75" s="134">
        <v>68</v>
      </c>
      <c r="R75" s="134"/>
      <c r="S75" s="136">
        <v>38.299999999999997</v>
      </c>
      <c r="T75" s="136">
        <f t="shared" si="39"/>
        <v>390.65999999999997</v>
      </c>
      <c r="U75" s="126">
        <f t="shared" si="41"/>
        <v>0</v>
      </c>
      <c r="V75" s="137">
        <f t="shared" si="40"/>
        <v>0</v>
      </c>
      <c r="W75" s="137">
        <v>0.38</v>
      </c>
      <c r="X75" s="138">
        <f t="shared" si="38"/>
        <v>188.7612</v>
      </c>
      <c r="Y75" s="136">
        <v>25.6</v>
      </c>
      <c r="Z75" s="136">
        <f t="shared" si="36"/>
        <v>0</v>
      </c>
      <c r="AA75" s="139"/>
      <c r="AB75" s="135">
        <v>45</v>
      </c>
      <c r="AC75" s="135">
        <v>90</v>
      </c>
      <c r="AD75" s="135" t="s">
        <v>607</v>
      </c>
      <c r="AE75" s="135">
        <v>15000</v>
      </c>
      <c r="AF75" s="135">
        <v>15153</v>
      </c>
      <c r="AG75" s="135">
        <v>6839</v>
      </c>
      <c r="AH75" s="135"/>
      <c r="AI75" s="135">
        <v>8314</v>
      </c>
      <c r="AJ75" s="135"/>
      <c r="AK75" s="135"/>
      <c r="AL75" s="135"/>
      <c r="AM75" s="135"/>
      <c r="AN75" s="135">
        <v>6666.7</v>
      </c>
      <c r="AO75" s="135"/>
      <c r="AP75" s="135"/>
      <c r="AQ75" s="135">
        <v>1528</v>
      </c>
      <c r="AR75" s="135"/>
      <c r="AS75" s="135"/>
      <c r="AT75" s="135"/>
      <c r="AU75" s="135"/>
      <c r="AV75" s="135"/>
      <c r="AW75" s="135"/>
      <c r="AX75" s="135">
        <v>1375</v>
      </c>
      <c r="AY75" s="135"/>
      <c r="AZ75" s="135">
        <v>602.79999999999995</v>
      </c>
      <c r="BA75" s="135">
        <v>594.9</v>
      </c>
      <c r="BB75" s="135"/>
      <c r="BC75" s="135"/>
      <c r="BD75" s="135">
        <v>70.8</v>
      </c>
      <c r="BE75" s="135"/>
      <c r="BF75" s="135">
        <v>50.5</v>
      </c>
      <c r="BG75" s="135"/>
      <c r="BH75" s="140">
        <v>7.1</v>
      </c>
      <c r="BI75" s="135">
        <v>8.1999999999999993</v>
      </c>
    </row>
    <row r="76" spans="6:61">
      <c r="F76" s="4" t="s">
        <v>608</v>
      </c>
      <c r="G76" s="123">
        <v>0</v>
      </c>
      <c r="H76" s="123" t="s">
        <v>611</v>
      </c>
      <c r="I76" s="123">
        <v>15</v>
      </c>
      <c r="J76" s="123">
        <v>7</v>
      </c>
      <c r="K76" s="123">
        <v>2</v>
      </c>
      <c r="L76" s="123">
        <v>497</v>
      </c>
      <c r="M76" s="123">
        <v>54</v>
      </c>
      <c r="N76" s="124">
        <v>24</v>
      </c>
      <c r="O76" s="124">
        <v>8</v>
      </c>
      <c r="P76" s="123">
        <v>10.5</v>
      </c>
      <c r="Q76" s="123">
        <v>102.4</v>
      </c>
      <c r="R76" s="123"/>
      <c r="S76" s="125">
        <v>38.5</v>
      </c>
      <c r="T76" s="125">
        <f t="shared" si="39"/>
        <v>392.7</v>
      </c>
      <c r="U76" s="126">
        <f t="shared" si="41"/>
        <v>0</v>
      </c>
      <c r="V76" s="126">
        <f t="shared" si="40"/>
        <v>0</v>
      </c>
      <c r="W76" s="126">
        <v>0.53</v>
      </c>
      <c r="X76" s="126">
        <f t="shared" si="38"/>
        <v>263.2722</v>
      </c>
      <c r="Y76" s="125">
        <v>38.5</v>
      </c>
      <c r="Z76" s="125">
        <f t="shared" si="36"/>
        <v>0</v>
      </c>
      <c r="AA76" s="128"/>
      <c r="AB76" s="124">
        <v>45</v>
      </c>
      <c r="AC76" s="124">
        <v>90</v>
      </c>
      <c r="AD76" s="124" t="s">
        <v>607</v>
      </c>
      <c r="AE76" s="124">
        <v>14881</v>
      </c>
      <c r="AF76" s="124">
        <v>14937</v>
      </c>
      <c r="AG76" s="124">
        <v>6741.6</v>
      </c>
      <c r="AH76" s="124"/>
      <c r="AI76" s="124">
        <v>8195.9</v>
      </c>
      <c r="AJ76" s="124"/>
      <c r="AK76" s="124"/>
      <c r="AL76" s="124"/>
      <c r="AM76" s="124"/>
      <c r="AN76" s="124">
        <v>6666.7</v>
      </c>
      <c r="AO76" s="124"/>
      <c r="AP76" s="124"/>
      <c r="AQ76" s="124">
        <v>555.6</v>
      </c>
      <c r="AR76" s="124"/>
      <c r="AS76" s="124"/>
      <c r="AT76" s="124"/>
      <c r="AU76" s="124"/>
      <c r="AV76" s="124"/>
      <c r="AW76" s="124"/>
      <c r="AX76" s="124">
        <v>500</v>
      </c>
      <c r="AY76" s="124"/>
      <c r="AZ76" s="124">
        <v>603.6</v>
      </c>
      <c r="BA76" s="124">
        <v>598.6</v>
      </c>
      <c r="BB76" s="124"/>
      <c r="BC76" s="124"/>
      <c r="BD76" s="124">
        <v>36.4</v>
      </c>
      <c r="BE76" s="124"/>
      <c r="BF76" s="124">
        <v>30.5</v>
      </c>
      <c r="BG76" s="124"/>
      <c r="BH76" s="141">
        <v>7</v>
      </c>
      <c r="BI76" s="124">
        <v>3</v>
      </c>
    </row>
    <row r="77" spans="6:61">
      <c r="F77" s="4" t="s">
        <v>608</v>
      </c>
      <c r="G77" s="123">
        <v>0</v>
      </c>
      <c r="H77" s="123" t="s">
        <v>611</v>
      </c>
      <c r="I77" s="123">
        <v>13</v>
      </c>
      <c r="J77" s="123">
        <v>7</v>
      </c>
      <c r="K77" s="123">
        <v>2</v>
      </c>
      <c r="L77" s="123">
        <v>497</v>
      </c>
      <c r="M77" s="123">
        <v>54</v>
      </c>
      <c r="N77" s="124">
        <v>24</v>
      </c>
      <c r="O77" s="124">
        <v>8</v>
      </c>
      <c r="P77" s="123">
        <v>10.5</v>
      </c>
      <c r="Q77" s="123">
        <v>106.1</v>
      </c>
      <c r="R77" s="123"/>
      <c r="S77" s="125">
        <v>59.9</v>
      </c>
      <c r="T77" s="125">
        <f t="shared" si="39"/>
        <v>610.9799999999999</v>
      </c>
      <c r="U77" s="126">
        <f t="shared" si="41"/>
        <v>0</v>
      </c>
      <c r="V77" s="126">
        <f t="shared" si="40"/>
        <v>0</v>
      </c>
      <c r="W77" s="126">
        <v>0.52</v>
      </c>
      <c r="X77" s="126">
        <f t="shared" si="38"/>
        <v>258.3048</v>
      </c>
      <c r="Y77" s="125">
        <v>39.9</v>
      </c>
      <c r="Z77" s="125">
        <f t="shared" si="36"/>
        <v>0</v>
      </c>
      <c r="AA77" s="128"/>
      <c r="AB77" s="124">
        <v>45</v>
      </c>
      <c r="AC77" s="124">
        <v>90</v>
      </c>
      <c r="AD77" s="124" t="s">
        <v>607</v>
      </c>
      <c r="AE77" s="124">
        <v>14848</v>
      </c>
      <c r="AF77" s="124">
        <v>14875</v>
      </c>
      <c r="AG77" s="124">
        <v>6713.3</v>
      </c>
      <c r="AH77" s="124"/>
      <c r="AI77" s="124">
        <v>8162</v>
      </c>
      <c r="AJ77" s="124"/>
      <c r="AK77" s="124"/>
      <c r="AL77" s="124"/>
      <c r="AM77" s="124"/>
      <c r="AN77" s="124">
        <v>6666.7</v>
      </c>
      <c r="AO77" s="124"/>
      <c r="AP77" s="124"/>
      <c r="AQ77" s="124">
        <v>277.8</v>
      </c>
      <c r="AR77" s="124"/>
      <c r="AS77" s="124"/>
      <c r="AT77" s="124"/>
      <c r="AU77" s="124"/>
      <c r="AV77" s="124"/>
      <c r="AW77" s="124"/>
      <c r="AX77" s="124">
        <v>250</v>
      </c>
      <c r="AY77" s="124"/>
      <c r="AZ77" s="124">
        <v>613.29999999999995</v>
      </c>
      <c r="BA77" s="124">
        <v>605.5</v>
      </c>
      <c r="BB77" s="124"/>
      <c r="BC77" s="124"/>
      <c r="BD77" s="124">
        <v>25.6</v>
      </c>
      <c r="BE77" s="124"/>
      <c r="BF77" s="124">
        <v>21.7</v>
      </c>
      <c r="BG77" s="124"/>
      <c r="BH77" s="141">
        <v>6.9</v>
      </c>
      <c r="BI77" s="124">
        <v>1.5</v>
      </c>
    </row>
    <row r="78" spans="6:61">
      <c r="F78" s="4" t="s">
        <v>608</v>
      </c>
      <c r="G78" s="123">
        <v>0</v>
      </c>
      <c r="H78" s="123" t="s">
        <v>611</v>
      </c>
      <c r="I78" s="123">
        <v>12</v>
      </c>
      <c r="J78" s="142">
        <v>7</v>
      </c>
      <c r="K78" s="123">
        <v>2</v>
      </c>
      <c r="L78" s="142">
        <v>497</v>
      </c>
      <c r="M78" s="123">
        <v>54</v>
      </c>
      <c r="N78" s="124">
        <v>24</v>
      </c>
      <c r="O78" s="124">
        <v>8</v>
      </c>
      <c r="P78" s="123">
        <v>10.5</v>
      </c>
      <c r="Q78" s="123">
        <v>71</v>
      </c>
      <c r="R78" s="123"/>
      <c r="S78" s="125">
        <v>40.200000000000003</v>
      </c>
      <c r="T78" s="125">
        <f t="shared" si="39"/>
        <v>410.04</v>
      </c>
      <c r="U78" s="126">
        <f t="shared" si="41"/>
        <v>0</v>
      </c>
      <c r="V78" s="126">
        <f t="shared" si="40"/>
        <v>0</v>
      </c>
      <c r="W78" s="126">
        <v>0.38</v>
      </c>
      <c r="X78" s="127">
        <f t="shared" si="38"/>
        <v>188.7612</v>
      </c>
      <c r="Y78" s="125">
        <v>26.8</v>
      </c>
      <c r="Z78" s="125">
        <f t="shared" si="36"/>
        <v>0</v>
      </c>
      <c r="AA78" s="128"/>
      <c r="AB78" s="124">
        <v>45</v>
      </c>
      <c r="AC78" s="124">
        <v>90</v>
      </c>
      <c r="AD78" s="124" t="s">
        <v>607</v>
      </c>
      <c r="AE78" s="124">
        <v>14949</v>
      </c>
      <c r="AF78" s="124">
        <v>15060</v>
      </c>
      <c r="AG78" s="124">
        <v>6797</v>
      </c>
      <c r="AH78" s="124"/>
      <c r="AI78" s="124">
        <v>8264</v>
      </c>
      <c r="AJ78" s="124"/>
      <c r="AK78" s="124"/>
      <c r="AL78" s="124"/>
      <c r="AM78" s="124"/>
      <c r="AN78" s="124">
        <v>6666.7</v>
      </c>
      <c r="AO78" s="124"/>
      <c r="AP78" s="124"/>
      <c r="AQ78" s="124">
        <v>1111</v>
      </c>
      <c r="AR78" s="124"/>
      <c r="AS78" s="124"/>
      <c r="AT78" s="124"/>
      <c r="AU78" s="124"/>
      <c r="AV78" s="124"/>
      <c r="AW78" s="124"/>
      <c r="AX78" s="124">
        <v>1000</v>
      </c>
      <c r="AY78" s="124"/>
      <c r="AZ78" s="124">
        <v>618.70000000000005</v>
      </c>
      <c r="BA78" s="124">
        <v>610.79999999999995</v>
      </c>
      <c r="BB78" s="124"/>
      <c r="BC78" s="124"/>
      <c r="BD78" s="124">
        <v>56.3</v>
      </c>
      <c r="BE78" s="124"/>
      <c r="BF78" s="124">
        <v>42.3</v>
      </c>
      <c r="BG78" s="124"/>
      <c r="BH78" s="129">
        <v>7</v>
      </c>
      <c r="BI78" s="124" t="s">
        <v>46</v>
      </c>
    </row>
    <row r="79" spans="6:61">
      <c r="F79" s="4" t="s">
        <v>608</v>
      </c>
      <c r="G79" s="123">
        <v>0</v>
      </c>
      <c r="H79" s="123" t="s">
        <v>611</v>
      </c>
      <c r="I79" s="123">
        <v>10</v>
      </c>
      <c r="J79" s="142">
        <v>7</v>
      </c>
      <c r="K79" s="123">
        <v>2</v>
      </c>
      <c r="L79" s="142">
        <v>497</v>
      </c>
      <c r="M79" s="123">
        <v>54</v>
      </c>
      <c r="N79" s="124">
        <v>24</v>
      </c>
      <c r="O79" s="124">
        <v>8</v>
      </c>
      <c r="P79" s="123">
        <v>10.5</v>
      </c>
      <c r="Q79" s="123">
        <v>72</v>
      </c>
      <c r="R79" s="123"/>
      <c r="S79" s="125">
        <v>40.299999999999997</v>
      </c>
      <c r="T79" s="125">
        <f t="shared" si="39"/>
        <v>411.05999999999995</v>
      </c>
      <c r="U79" s="126">
        <f t="shared" si="41"/>
        <v>0</v>
      </c>
      <c r="V79" s="126">
        <f t="shared" si="40"/>
        <v>0</v>
      </c>
      <c r="W79" s="126">
        <v>0.36</v>
      </c>
      <c r="X79" s="126">
        <f t="shared" si="38"/>
        <v>178.82640000000001</v>
      </c>
      <c r="Y79" s="125">
        <v>26.9</v>
      </c>
      <c r="Z79" s="131">
        <f t="shared" si="36"/>
        <v>0</v>
      </c>
      <c r="AA79" s="128"/>
      <c r="AB79" s="124">
        <v>45</v>
      </c>
      <c r="AC79" s="124">
        <v>90</v>
      </c>
      <c r="AD79" s="124" t="s">
        <v>607</v>
      </c>
      <c r="AE79" s="124">
        <v>14924</v>
      </c>
      <c r="AF79" s="124">
        <v>15014</v>
      </c>
      <c r="AG79" s="124">
        <v>6776</v>
      </c>
      <c r="AH79" s="124"/>
      <c r="AI79" s="124">
        <v>8238</v>
      </c>
      <c r="AJ79" s="124"/>
      <c r="AK79" s="124"/>
      <c r="AL79" s="124"/>
      <c r="AM79" s="124"/>
      <c r="AN79" s="124">
        <v>6666.7</v>
      </c>
      <c r="AO79" s="124"/>
      <c r="AP79" s="124"/>
      <c r="AQ79" s="124">
        <v>903</v>
      </c>
      <c r="AR79" s="124"/>
      <c r="AS79" s="124"/>
      <c r="AT79" s="124"/>
      <c r="AU79" s="124"/>
      <c r="AV79" s="124"/>
      <c r="AW79" s="124"/>
      <c r="AX79" s="124">
        <v>813</v>
      </c>
      <c r="AY79" s="124"/>
      <c r="AZ79" s="124">
        <v>632.70000000000005</v>
      </c>
      <c r="BA79" s="124">
        <v>624.70000000000005</v>
      </c>
      <c r="BB79" s="124"/>
      <c r="BC79" s="124"/>
      <c r="BD79" s="124">
        <v>48.6</v>
      </c>
      <c r="BE79" s="124"/>
      <c r="BF79" s="124">
        <v>37.299999999999997</v>
      </c>
      <c r="BG79" s="124"/>
      <c r="BH79" s="129">
        <v>7</v>
      </c>
      <c r="BI79" s="124">
        <v>4.9000000000000004</v>
      </c>
    </row>
    <row r="80" spans="6:61">
      <c r="F80" s="4" t="s">
        <v>608</v>
      </c>
      <c r="G80" s="123">
        <v>0</v>
      </c>
      <c r="H80" s="123" t="s">
        <v>611</v>
      </c>
      <c r="I80" s="123">
        <v>8</v>
      </c>
      <c r="J80" s="142">
        <v>7</v>
      </c>
      <c r="K80" s="123">
        <v>2</v>
      </c>
      <c r="L80" s="142">
        <v>497</v>
      </c>
      <c r="M80" s="123">
        <v>54</v>
      </c>
      <c r="N80" s="124">
        <v>24</v>
      </c>
      <c r="O80" s="124">
        <v>8</v>
      </c>
      <c r="P80" s="123">
        <v>10.5</v>
      </c>
      <c r="Q80" s="123">
        <v>73</v>
      </c>
      <c r="R80" s="123"/>
      <c r="S80" s="125">
        <v>41</v>
      </c>
      <c r="T80" s="125">
        <f t="shared" si="39"/>
        <v>418.2</v>
      </c>
      <c r="U80" s="126">
        <f t="shared" si="41"/>
        <v>0</v>
      </c>
      <c r="V80" s="126">
        <f t="shared" si="40"/>
        <v>0</v>
      </c>
      <c r="W80" s="126">
        <v>0.36</v>
      </c>
      <c r="X80" s="126">
        <f t="shared" si="38"/>
        <v>178.82640000000001</v>
      </c>
      <c r="Y80" s="125">
        <v>27.4</v>
      </c>
      <c r="Z80" s="131">
        <f t="shared" si="36"/>
        <v>0</v>
      </c>
      <c r="AA80" s="128"/>
      <c r="AB80" s="124">
        <v>45</v>
      </c>
      <c r="AC80" s="124">
        <v>90</v>
      </c>
      <c r="AD80" s="124" t="s">
        <v>607</v>
      </c>
      <c r="AE80" s="124">
        <v>14980</v>
      </c>
      <c r="AF80" s="124">
        <v>14952</v>
      </c>
      <c r="AG80" s="124">
        <v>6749</v>
      </c>
      <c r="AH80" s="124"/>
      <c r="AI80" s="124">
        <v>8204</v>
      </c>
      <c r="AJ80" s="124"/>
      <c r="AK80" s="124"/>
      <c r="AL80" s="124"/>
      <c r="AM80" s="124"/>
      <c r="AN80" s="124">
        <v>6666.7</v>
      </c>
      <c r="AO80" s="124"/>
      <c r="AP80" s="124"/>
      <c r="AQ80" s="124">
        <v>625</v>
      </c>
      <c r="AR80" s="124"/>
      <c r="AS80" s="124"/>
      <c r="AT80" s="124"/>
      <c r="AU80" s="124"/>
      <c r="AV80" s="124"/>
      <c r="AW80" s="124"/>
      <c r="AX80" s="124">
        <v>563</v>
      </c>
      <c r="AY80" s="124"/>
      <c r="AZ80" s="124">
        <v>650.29999999999995</v>
      </c>
      <c r="BA80" s="124">
        <v>642.29999999999995</v>
      </c>
      <c r="BB80" s="124"/>
      <c r="BC80" s="124"/>
      <c r="BD80" s="124">
        <v>36.9</v>
      </c>
      <c r="BE80" s="124"/>
      <c r="BF80" s="124">
        <v>29.1</v>
      </c>
      <c r="BG80" s="124"/>
      <c r="BH80" s="129">
        <v>7</v>
      </c>
      <c r="BI80" s="124">
        <v>3.4</v>
      </c>
    </row>
    <row r="81" spans="6:61">
      <c r="F81" s="4"/>
      <c r="G81" s="123"/>
      <c r="H81" s="123"/>
      <c r="I81" s="123"/>
      <c r="J81" s="142"/>
      <c r="K81" s="123"/>
      <c r="L81" s="142"/>
      <c r="M81" s="123"/>
      <c r="N81" s="124"/>
      <c r="O81" s="124"/>
      <c r="P81" s="123"/>
      <c r="Q81" s="123"/>
      <c r="R81" s="123"/>
      <c r="S81" s="125"/>
      <c r="T81" s="125"/>
      <c r="U81" s="126" t="s">
        <v>46</v>
      </c>
      <c r="V81" s="126"/>
      <c r="W81" s="126"/>
      <c r="X81" s="130"/>
      <c r="Y81" s="125"/>
      <c r="Z81" s="131"/>
      <c r="AA81" s="128"/>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9"/>
      <c r="BI81" s="124"/>
    </row>
    <row r="82" spans="6:61">
      <c r="F82" s="133" t="s">
        <v>608</v>
      </c>
      <c r="G82" s="134">
        <v>0</v>
      </c>
      <c r="H82" s="134" t="s">
        <v>609</v>
      </c>
      <c r="I82" s="134">
        <v>18</v>
      </c>
      <c r="J82" s="144">
        <v>7</v>
      </c>
      <c r="K82" s="134">
        <v>2</v>
      </c>
      <c r="L82" s="144">
        <v>497</v>
      </c>
      <c r="M82" s="134">
        <v>54</v>
      </c>
      <c r="N82" s="135">
        <v>24</v>
      </c>
      <c r="O82" s="135">
        <v>8</v>
      </c>
      <c r="P82" s="134">
        <v>10.5</v>
      </c>
      <c r="Q82" s="134">
        <v>59.6</v>
      </c>
      <c r="R82" s="134"/>
      <c r="S82" s="136">
        <v>33.5</v>
      </c>
      <c r="T82" s="136">
        <f t="shared" ref="T82:T91" si="42">IF(G82=0,$P$10*S82,$P$11*S82)</f>
        <v>341.7</v>
      </c>
      <c r="U82" s="126">
        <f>IF(H82="Max",S82/21000*110*$R$376,S82/19030*71*$R$376)</f>
        <v>0</v>
      </c>
      <c r="V82" s="137">
        <f t="shared" ref="V82:V91" si="43">IF(G82=0,$R$10*U82,$R$11*U82)</f>
        <v>0</v>
      </c>
      <c r="W82" s="137">
        <v>0.38</v>
      </c>
      <c r="X82" s="138">
        <f>IF(G82=0,$T$10*W82,$T$11*W82)</f>
        <v>188.7612</v>
      </c>
      <c r="Y82" s="136">
        <v>22.4</v>
      </c>
      <c r="Z82" s="136">
        <f>IF(G82=0,$V$10*Y82,$V$11*Y82)</f>
        <v>0</v>
      </c>
      <c r="AA82" s="139"/>
      <c r="AB82" s="135">
        <v>45</v>
      </c>
      <c r="AC82" s="135">
        <v>90</v>
      </c>
      <c r="AD82" s="135" t="s">
        <v>607</v>
      </c>
      <c r="AE82" s="135">
        <v>15043</v>
      </c>
      <c r="AF82" s="135">
        <v>15230</v>
      </c>
      <c r="AG82" s="135">
        <v>6873.9</v>
      </c>
      <c r="AH82" s="135"/>
      <c r="AI82" s="135">
        <v>8356.7999999999993</v>
      </c>
      <c r="AJ82" s="135"/>
      <c r="AK82" s="135"/>
      <c r="AL82" s="135"/>
      <c r="AM82" s="135"/>
      <c r="AN82" s="135">
        <v>6666.7</v>
      </c>
      <c r="AO82" s="135"/>
      <c r="AP82" s="135"/>
      <c r="AQ82" s="135">
        <v>1875</v>
      </c>
      <c r="AR82" s="135"/>
      <c r="AS82" s="135"/>
      <c r="AT82" s="135"/>
      <c r="AU82" s="135"/>
      <c r="AV82" s="135"/>
      <c r="AW82" s="135"/>
      <c r="AX82" s="135">
        <v>1687.5</v>
      </c>
      <c r="AY82" s="135"/>
      <c r="AZ82" s="135">
        <v>525.6</v>
      </c>
      <c r="BA82" s="135">
        <v>517.6</v>
      </c>
      <c r="BB82" s="135"/>
      <c r="BC82" s="135"/>
      <c r="BD82" s="135">
        <v>79.2</v>
      </c>
      <c r="BE82" s="135"/>
      <c r="BF82" s="135">
        <v>53.1</v>
      </c>
      <c r="BG82" s="135"/>
      <c r="BH82" s="140">
        <v>7.1</v>
      </c>
      <c r="BI82" s="135">
        <v>10.1</v>
      </c>
    </row>
    <row r="83" spans="6:61">
      <c r="F83" s="4" t="s">
        <v>608</v>
      </c>
      <c r="G83" s="123">
        <v>0</v>
      </c>
      <c r="H83" s="123" t="s">
        <v>609</v>
      </c>
      <c r="I83" s="123">
        <v>18</v>
      </c>
      <c r="J83" s="142">
        <v>7</v>
      </c>
      <c r="K83" s="123">
        <v>2</v>
      </c>
      <c r="L83" s="142">
        <v>497</v>
      </c>
      <c r="M83" s="123">
        <v>54</v>
      </c>
      <c r="N83" s="124">
        <v>24</v>
      </c>
      <c r="O83" s="124">
        <v>8</v>
      </c>
      <c r="P83" s="123">
        <v>10.5</v>
      </c>
      <c r="Q83" s="123">
        <v>87.4</v>
      </c>
      <c r="R83" s="123"/>
      <c r="S83" s="125">
        <v>49.2</v>
      </c>
      <c r="T83" s="125">
        <f t="shared" si="42"/>
        <v>501.84</v>
      </c>
      <c r="U83" s="126">
        <f>IF(H83="Max",S83/21000*110*$R$376,S83/19030*71*$R$376)</f>
        <v>0</v>
      </c>
      <c r="V83" s="126">
        <f t="shared" si="43"/>
        <v>0</v>
      </c>
      <c r="W83" s="126">
        <v>0.53</v>
      </c>
      <c r="X83" s="127">
        <f>IF(G83=0,$T$10*W83,$T$11*W83)</f>
        <v>263.2722</v>
      </c>
      <c r="Y83" s="125">
        <v>32.799999999999997</v>
      </c>
      <c r="Z83" s="125">
        <f>IF(G83=0,$V$10*Y83,$V$11*Y83)</f>
        <v>0</v>
      </c>
      <c r="AA83" s="128"/>
      <c r="AB83" s="124">
        <v>45</v>
      </c>
      <c r="AC83" s="124">
        <v>90</v>
      </c>
      <c r="AD83" s="124" t="s">
        <v>607</v>
      </c>
      <c r="AE83" s="124">
        <v>14920</v>
      </c>
      <c r="AF83" s="124">
        <v>15006</v>
      </c>
      <c r="AG83" s="124">
        <v>6772.9</v>
      </c>
      <c r="AH83" s="124"/>
      <c r="AI83" s="124">
        <v>8234</v>
      </c>
      <c r="AJ83" s="124"/>
      <c r="AK83" s="124"/>
      <c r="AL83" s="124"/>
      <c r="AM83" s="124"/>
      <c r="AN83" s="124">
        <v>6666.7</v>
      </c>
      <c r="AO83" s="124"/>
      <c r="AP83" s="124"/>
      <c r="AQ83" s="124">
        <v>868.1</v>
      </c>
      <c r="AR83" s="124"/>
      <c r="AS83" s="124"/>
      <c r="AT83" s="124"/>
      <c r="AU83" s="124"/>
      <c r="AV83" s="124"/>
      <c r="AW83" s="124"/>
      <c r="AX83" s="124">
        <v>781.3</v>
      </c>
      <c r="AY83" s="124"/>
      <c r="AZ83" s="124">
        <v>526.29999999999995</v>
      </c>
      <c r="BA83" s="124">
        <v>518.5</v>
      </c>
      <c r="BB83" s="124"/>
      <c r="BC83" s="124"/>
      <c r="BD83" s="124">
        <v>43.5</v>
      </c>
      <c r="BE83" s="124"/>
      <c r="BF83" s="124">
        <v>34</v>
      </c>
      <c r="BG83" s="124"/>
      <c r="BH83" s="129">
        <v>7</v>
      </c>
      <c r="BI83" s="124">
        <v>4.7</v>
      </c>
    </row>
    <row r="84" spans="6:61">
      <c r="F84" s="133" t="s">
        <v>608</v>
      </c>
      <c r="G84" s="134">
        <v>0</v>
      </c>
      <c r="H84" s="134" t="s">
        <v>609</v>
      </c>
      <c r="I84" s="134">
        <v>15</v>
      </c>
      <c r="J84" s="144">
        <v>7</v>
      </c>
      <c r="K84" s="134">
        <v>2</v>
      </c>
      <c r="L84" s="144">
        <v>497</v>
      </c>
      <c r="M84" s="134">
        <v>54</v>
      </c>
      <c r="N84" s="135">
        <v>24</v>
      </c>
      <c r="O84" s="135">
        <v>8</v>
      </c>
      <c r="P84" s="134">
        <v>10.5</v>
      </c>
      <c r="Q84" s="134">
        <v>64</v>
      </c>
      <c r="R84" s="134"/>
      <c r="S84" s="136">
        <v>36.1</v>
      </c>
      <c r="T84" s="136">
        <f t="shared" si="42"/>
        <v>368.21999999999997</v>
      </c>
      <c r="U84" s="126">
        <f>IF(H84="Max",S84/21000*110*$R$376,S84/19030*71*$R$376)</f>
        <v>0</v>
      </c>
      <c r="V84" s="137">
        <f t="shared" si="43"/>
        <v>0</v>
      </c>
      <c r="W84" s="137">
        <v>0.38</v>
      </c>
      <c r="X84" s="138">
        <f>IF(G84=0,$T$10*W84,$T$11*W84)</f>
        <v>188.7612</v>
      </c>
      <c r="Y84" s="136">
        <v>24.1</v>
      </c>
      <c r="Z84" s="136">
        <f>IF(G84=0,$V$10*Y84,$V$11*Y84)</f>
        <v>0</v>
      </c>
      <c r="AA84" s="139"/>
      <c r="AB84" s="135">
        <v>45</v>
      </c>
      <c r="AC84" s="135">
        <v>90</v>
      </c>
      <c r="AD84" s="135" t="s">
        <v>607</v>
      </c>
      <c r="AE84" s="135">
        <v>14983</v>
      </c>
      <c r="AF84" s="135">
        <v>15122</v>
      </c>
      <c r="AG84" s="135">
        <v>6825.2</v>
      </c>
      <c r="AH84" s="135"/>
      <c r="AI84" s="135">
        <v>8298</v>
      </c>
      <c r="AJ84" s="135"/>
      <c r="AK84" s="135"/>
      <c r="AL84" s="135"/>
      <c r="AM84" s="135"/>
      <c r="AN84" s="135">
        <v>6666.7</v>
      </c>
      <c r="AO84" s="135"/>
      <c r="AP84" s="135"/>
      <c r="AQ84" s="135">
        <v>1389</v>
      </c>
      <c r="AR84" s="135"/>
      <c r="AS84" s="135"/>
      <c r="AT84" s="135"/>
      <c r="AU84" s="135"/>
      <c r="AV84" s="135"/>
      <c r="AW84" s="135"/>
      <c r="AX84" s="135">
        <v>1250</v>
      </c>
      <c r="AY84" s="135"/>
      <c r="AZ84" s="135">
        <v>537</v>
      </c>
      <c r="BA84" s="135">
        <v>529.29999999999995</v>
      </c>
      <c r="BB84" s="135"/>
      <c r="BC84" s="135"/>
      <c r="BD84" s="135">
        <v>63.6</v>
      </c>
      <c r="BE84" s="135"/>
      <c r="BF84" s="135">
        <v>45.3</v>
      </c>
      <c r="BG84" s="135"/>
      <c r="BH84" s="140">
        <v>7</v>
      </c>
      <c r="BI84" s="135">
        <v>7.5</v>
      </c>
    </row>
    <row r="85" spans="6:61">
      <c r="F85" s="4" t="s">
        <v>608</v>
      </c>
      <c r="G85" s="123">
        <v>0</v>
      </c>
      <c r="H85" s="123" t="s">
        <v>609</v>
      </c>
      <c r="I85" s="123">
        <v>15</v>
      </c>
      <c r="J85" s="142">
        <v>7</v>
      </c>
      <c r="K85" s="123">
        <v>2</v>
      </c>
      <c r="L85" s="142">
        <v>497</v>
      </c>
      <c r="M85" s="123">
        <v>54</v>
      </c>
      <c r="N85" s="124">
        <v>24</v>
      </c>
      <c r="O85" s="124">
        <v>8</v>
      </c>
      <c r="P85" s="123">
        <v>10.5</v>
      </c>
      <c r="Q85" s="123">
        <v>94.5</v>
      </c>
      <c r="R85" s="123"/>
      <c r="S85" s="125">
        <v>53.2</v>
      </c>
      <c r="T85" s="125">
        <f t="shared" si="42"/>
        <v>542.64</v>
      </c>
      <c r="U85" s="126">
        <f>IF(H85="Max",S85/21000*110*$R$376,S85/19030*71*$R$376)</f>
        <v>0</v>
      </c>
      <c r="V85" s="126">
        <f t="shared" si="43"/>
        <v>0</v>
      </c>
      <c r="W85" s="126">
        <v>0.53</v>
      </c>
      <c r="X85" s="127">
        <f>IF(G85=0,$T$10*W85,$T$11*W85)</f>
        <v>263.2722</v>
      </c>
      <c r="Y85" s="125">
        <v>35.450000000000003</v>
      </c>
      <c r="Z85" s="125">
        <f>IF(G85=0,$V$10*Y85,$V$11*Y85)</f>
        <v>0</v>
      </c>
      <c r="AA85" s="128"/>
      <c r="AB85" s="124">
        <v>46</v>
      </c>
      <c r="AC85" s="124">
        <v>90</v>
      </c>
      <c r="AD85" s="124" t="s">
        <v>607</v>
      </c>
      <c r="AE85" s="124">
        <v>14865</v>
      </c>
      <c r="AF85" s="124">
        <v>14906</v>
      </c>
      <c r="AG85" s="124">
        <v>6727.7</v>
      </c>
      <c r="AH85" s="124"/>
      <c r="AI85" s="124">
        <v>8179</v>
      </c>
      <c r="AJ85" s="124"/>
      <c r="AK85" s="124"/>
      <c r="AL85" s="124"/>
      <c r="AM85" s="124"/>
      <c r="AN85" s="124">
        <v>6666.7</v>
      </c>
      <c r="AO85" s="124"/>
      <c r="AP85" s="124"/>
      <c r="AQ85" s="124">
        <v>416.7</v>
      </c>
      <c r="AR85" s="124"/>
      <c r="AS85" s="124"/>
      <c r="AT85" s="124"/>
      <c r="AU85" s="124"/>
      <c r="AV85" s="124"/>
      <c r="AW85" s="124"/>
      <c r="AX85" s="124">
        <v>375</v>
      </c>
      <c r="AY85" s="124"/>
      <c r="AZ85" s="124">
        <v>537.6</v>
      </c>
      <c r="BA85" s="124">
        <v>529.79999999999995</v>
      </c>
      <c r="BB85" s="124"/>
      <c r="BC85" s="124"/>
      <c r="BD85" s="124">
        <v>29.4</v>
      </c>
      <c r="BE85" s="124"/>
      <c r="BF85" s="124">
        <v>24.6</v>
      </c>
      <c r="BG85" s="124"/>
      <c r="BH85" s="129">
        <v>6.9</v>
      </c>
      <c r="BI85" s="124">
        <v>2.2000000000000002</v>
      </c>
    </row>
    <row r="86" spans="6:61">
      <c r="F86" s="4" t="s">
        <v>608</v>
      </c>
      <c r="G86" s="123">
        <v>0</v>
      </c>
      <c r="H86" s="123" t="s">
        <v>609</v>
      </c>
      <c r="I86" s="123">
        <v>15</v>
      </c>
      <c r="J86" s="142">
        <v>7</v>
      </c>
      <c r="K86" s="142">
        <v>1</v>
      </c>
      <c r="L86" s="142">
        <v>497</v>
      </c>
      <c r="M86" s="142">
        <v>27</v>
      </c>
      <c r="N86" s="147">
        <v>12</v>
      </c>
      <c r="O86" s="124">
        <v>8</v>
      </c>
      <c r="P86" s="123">
        <v>10.5</v>
      </c>
      <c r="Q86" s="123">
        <v>98.3</v>
      </c>
      <c r="R86" s="123"/>
      <c r="S86" s="125">
        <v>55.3</v>
      </c>
      <c r="T86" s="125">
        <f t="shared" si="42"/>
        <v>564.05999999999995</v>
      </c>
      <c r="U86" s="126">
        <f>IF(H86="Max",S86/21000*110*$R$376,S86/19030*71*$R$376)</f>
        <v>0</v>
      </c>
      <c r="V86" s="126">
        <f t="shared" si="43"/>
        <v>0</v>
      </c>
      <c r="W86" s="126">
        <v>0.52</v>
      </c>
      <c r="X86" s="127">
        <f>IF(G86=0,$T$10*W86,$T$11*W86)</f>
        <v>258.3048</v>
      </c>
      <c r="Y86" s="125">
        <v>35.6</v>
      </c>
      <c r="Z86" s="125">
        <f>IF(G86=0,$V$10*Y86,$V$11*Y86)</f>
        <v>0</v>
      </c>
      <c r="AA86" s="128"/>
      <c r="AB86" s="124">
        <v>45</v>
      </c>
      <c r="AC86" s="124">
        <v>90</v>
      </c>
      <c r="AD86" s="124" t="s">
        <v>607</v>
      </c>
      <c r="AE86" s="124">
        <v>14856</v>
      </c>
      <c r="AF86" s="124">
        <v>14891</v>
      </c>
      <c r="AG86" s="124">
        <v>6720.7</v>
      </c>
      <c r="AH86" s="124"/>
      <c r="AI86" s="124">
        <v>8170.5</v>
      </c>
      <c r="AJ86" s="124"/>
      <c r="AK86" s="124"/>
      <c r="AL86" s="124"/>
      <c r="AM86" s="124"/>
      <c r="AN86" s="124">
        <v>6666.7</v>
      </c>
      <c r="AO86" s="124"/>
      <c r="AP86" s="124"/>
      <c r="AQ86" s="124">
        <v>347.2</v>
      </c>
      <c r="AR86" s="124"/>
      <c r="AS86" s="124"/>
      <c r="AT86" s="124"/>
      <c r="AU86" s="124"/>
      <c r="AV86" s="124"/>
      <c r="AW86" s="124"/>
      <c r="AX86" s="124">
        <v>312.5</v>
      </c>
      <c r="AY86" s="124"/>
      <c r="AZ86" s="124">
        <v>537.6</v>
      </c>
      <c r="BA86" s="124">
        <v>529.79999999999995</v>
      </c>
      <c r="BB86" s="124"/>
      <c r="BC86" s="124"/>
      <c r="BD86" s="124">
        <v>38.700000000000003</v>
      </c>
      <c r="BE86" s="124"/>
      <c r="BF86" s="124">
        <v>31</v>
      </c>
      <c r="BG86" s="124"/>
      <c r="BH86" s="129">
        <v>6.9</v>
      </c>
      <c r="BI86" s="124">
        <v>3.7</v>
      </c>
    </row>
    <row r="87" spans="6:61">
      <c r="F87" s="4" t="s">
        <v>608</v>
      </c>
      <c r="G87" s="123">
        <v>0</v>
      </c>
      <c r="H87" s="123" t="s">
        <v>609</v>
      </c>
      <c r="I87" s="123">
        <v>13</v>
      </c>
      <c r="J87" s="142">
        <v>7</v>
      </c>
      <c r="K87" s="150" t="s">
        <v>631</v>
      </c>
      <c r="L87" s="142" t="s">
        <v>67</v>
      </c>
      <c r="M87" s="142"/>
      <c r="N87" s="147"/>
      <c r="O87" s="124"/>
      <c r="P87" s="123"/>
      <c r="Q87" s="123"/>
      <c r="R87" s="123"/>
      <c r="S87" s="125"/>
      <c r="T87" s="125"/>
      <c r="U87" s="126"/>
      <c r="V87" s="126"/>
      <c r="W87" s="126"/>
      <c r="X87" s="127"/>
      <c r="Y87" s="125"/>
      <c r="Z87" s="125"/>
      <c r="AA87" s="128"/>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9"/>
      <c r="BI87" s="124"/>
    </row>
    <row r="88" spans="6:61">
      <c r="F88" s="4" t="s">
        <v>608</v>
      </c>
      <c r="G88" s="123">
        <v>0</v>
      </c>
      <c r="H88" s="123" t="s">
        <v>609</v>
      </c>
      <c r="I88" s="123">
        <v>12</v>
      </c>
      <c r="J88" s="142">
        <v>7</v>
      </c>
      <c r="K88" s="123">
        <v>2</v>
      </c>
      <c r="L88" s="142">
        <v>497</v>
      </c>
      <c r="M88" s="123">
        <v>54</v>
      </c>
      <c r="N88" s="124">
        <v>24</v>
      </c>
      <c r="O88" s="124">
        <v>8</v>
      </c>
      <c r="P88" s="123">
        <v>10.5</v>
      </c>
      <c r="Q88" s="123">
        <v>68</v>
      </c>
      <c r="R88" s="123"/>
      <c r="S88" s="125">
        <v>38.4</v>
      </c>
      <c r="T88" s="125">
        <f t="shared" ref="T88:T89" si="44">IF(G88=0,$P$10*S88,$P$11*S88)</f>
        <v>391.67999999999995</v>
      </c>
      <c r="U88" s="126">
        <f>IF(H88="Max",S88/21000*110*$R$376,S88/19030*71*$R$376)</f>
        <v>0</v>
      </c>
      <c r="V88" s="126">
        <f t="shared" ref="V88:V89" si="45">IF(G88=0,$R$10*U88,$R$11*U88)</f>
        <v>0</v>
      </c>
      <c r="W88" s="126">
        <v>0.38</v>
      </c>
      <c r="X88" s="127">
        <f>IF(G88=0,$T$10*W88,$T$11*W88)</f>
        <v>188.7612</v>
      </c>
      <c r="Y88" s="125">
        <v>25.6</v>
      </c>
      <c r="Z88" s="125">
        <f>IF(G88=0,$V$10*Y88,$V$11*Y88)</f>
        <v>0</v>
      </c>
      <c r="AA88" s="128"/>
      <c r="AB88" s="124">
        <v>45</v>
      </c>
      <c r="AC88" s="124">
        <v>90</v>
      </c>
      <c r="AD88" s="124" t="s">
        <v>607</v>
      </c>
      <c r="AE88" s="124">
        <v>14924</v>
      </c>
      <c r="AF88" s="124">
        <v>15014</v>
      </c>
      <c r="AG88" s="124">
        <v>6776</v>
      </c>
      <c r="AH88" s="124"/>
      <c r="AI88" s="124">
        <v>8238</v>
      </c>
      <c r="AJ88" s="124"/>
      <c r="AK88" s="124"/>
      <c r="AL88" s="124"/>
      <c r="AM88" s="124"/>
      <c r="AN88" s="124">
        <v>6666.7</v>
      </c>
      <c r="AO88" s="124"/>
      <c r="AP88" s="124"/>
      <c r="AQ88" s="124">
        <v>903</v>
      </c>
      <c r="AR88" s="124"/>
      <c r="AS88" s="124"/>
      <c r="AT88" s="124"/>
      <c r="AU88" s="124"/>
      <c r="AV88" s="124"/>
      <c r="AW88" s="124"/>
      <c r="AX88" s="124">
        <v>813</v>
      </c>
      <c r="AY88" s="124"/>
      <c r="AZ88" s="124">
        <v>553.5</v>
      </c>
      <c r="BA88" s="124">
        <v>545.5</v>
      </c>
      <c r="BB88" s="124"/>
      <c r="BC88" s="124"/>
      <c r="BD88" s="124">
        <v>45.9</v>
      </c>
      <c r="BE88" s="124"/>
      <c r="BF88" s="124">
        <v>34.700000000000003</v>
      </c>
      <c r="BG88" s="124"/>
      <c r="BH88" s="129">
        <v>7</v>
      </c>
      <c r="BI88" s="124">
        <v>4.9000000000000004</v>
      </c>
    </row>
    <row r="89" spans="6:61">
      <c r="F89" s="4" t="s">
        <v>608</v>
      </c>
      <c r="G89" s="123">
        <v>0</v>
      </c>
      <c r="H89" s="123" t="s">
        <v>609</v>
      </c>
      <c r="I89" s="123">
        <v>10</v>
      </c>
      <c r="J89" s="142">
        <v>7</v>
      </c>
      <c r="K89" s="123">
        <v>2</v>
      </c>
      <c r="L89" s="142">
        <v>497</v>
      </c>
      <c r="M89" s="123">
        <v>54</v>
      </c>
      <c r="N89" s="124">
        <v>24</v>
      </c>
      <c r="O89" s="124">
        <v>8</v>
      </c>
      <c r="P89" s="123">
        <v>10.5</v>
      </c>
      <c r="Q89" s="123">
        <v>70</v>
      </c>
      <c r="R89" s="123"/>
      <c r="S89" s="125">
        <v>39.1</v>
      </c>
      <c r="T89" s="125">
        <f t="shared" si="44"/>
        <v>398.82</v>
      </c>
      <c r="U89" s="126">
        <f>IF(H89="Max",S89/21000*110*$R$376,S89/19030*71*$R$376)</f>
        <v>0</v>
      </c>
      <c r="V89" s="126">
        <f t="shared" si="45"/>
        <v>0</v>
      </c>
      <c r="W89" s="126">
        <v>0.38</v>
      </c>
      <c r="X89" s="127">
        <f>IF(G89=0,$T$10*W89,$T$11*W89)</f>
        <v>188.7612</v>
      </c>
      <c r="Y89" s="125">
        <v>26.1</v>
      </c>
      <c r="Z89" s="125">
        <f>IF(G89=0,$V$10*Y89,$V$11*Y89)</f>
        <v>0</v>
      </c>
      <c r="AA89" s="128"/>
      <c r="AB89" s="124">
        <v>45</v>
      </c>
      <c r="AC89" s="124">
        <v>90</v>
      </c>
      <c r="AD89" s="124" t="s">
        <v>607</v>
      </c>
      <c r="AE89" s="124">
        <v>14890</v>
      </c>
      <c r="AF89" s="124">
        <v>14952</v>
      </c>
      <c r="AG89" s="124">
        <v>6749</v>
      </c>
      <c r="AH89" s="124"/>
      <c r="AI89" s="124">
        <v>8204</v>
      </c>
      <c r="AJ89" s="124"/>
      <c r="AK89" s="124"/>
      <c r="AL89" s="124"/>
      <c r="AM89" s="124"/>
      <c r="AN89" s="124">
        <v>6666.7</v>
      </c>
      <c r="AO89" s="124"/>
      <c r="AP89" s="124"/>
      <c r="AQ89" s="124">
        <v>625</v>
      </c>
      <c r="AR89" s="124"/>
      <c r="AS89" s="124"/>
      <c r="AT89" s="124"/>
      <c r="AU89" s="124"/>
      <c r="AV89" s="124"/>
      <c r="AW89" s="124"/>
      <c r="AX89" s="124">
        <v>562</v>
      </c>
      <c r="AY89" s="124"/>
      <c r="AZ89" s="124">
        <v>567.4</v>
      </c>
      <c r="BA89" s="124">
        <v>559.4</v>
      </c>
      <c r="BB89" s="124"/>
      <c r="BC89" s="124"/>
      <c r="BD89" s="124">
        <v>34.799999999999997</v>
      </c>
      <c r="BE89" s="124"/>
      <c r="BF89" s="124">
        <v>27.1</v>
      </c>
      <c r="BG89" s="124"/>
      <c r="BH89" s="129">
        <v>7</v>
      </c>
      <c r="BI89" s="124">
        <v>3.4</v>
      </c>
    </row>
    <row r="90" spans="6:61">
      <c r="F90" s="4" t="s">
        <v>608</v>
      </c>
      <c r="G90" s="123">
        <v>0</v>
      </c>
      <c r="H90" s="123" t="s">
        <v>609</v>
      </c>
      <c r="I90" s="123">
        <v>8</v>
      </c>
      <c r="J90" s="142">
        <v>7</v>
      </c>
      <c r="K90" s="123">
        <v>2</v>
      </c>
      <c r="L90" s="142">
        <v>497</v>
      </c>
      <c r="M90" s="123">
        <v>54</v>
      </c>
      <c r="N90" s="124">
        <v>24</v>
      </c>
      <c r="O90" s="124">
        <v>8</v>
      </c>
      <c r="P90" s="123">
        <v>10.5</v>
      </c>
      <c r="Q90" s="123">
        <v>71</v>
      </c>
      <c r="R90" s="123"/>
      <c r="S90" s="125">
        <v>40</v>
      </c>
      <c r="T90" s="125">
        <f t="shared" si="42"/>
        <v>408</v>
      </c>
      <c r="U90" s="126">
        <f>IF(H90="Max",S90/21000*110*$R$376,S90/19030*71*$R$376)</f>
        <v>0</v>
      </c>
      <c r="V90" s="126">
        <f t="shared" si="43"/>
        <v>0</v>
      </c>
      <c r="W90" s="126">
        <v>0.37</v>
      </c>
      <c r="X90" s="126">
        <f>IF(G90=0,$T$10*W90,$T$11*W90)</f>
        <v>183.7938</v>
      </c>
      <c r="Y90" s="125">
        <v>26.6</v>
      </c>
      <c r="Z90" s="131">
        <f>IF(G90=0,$V$10*Y90,$V$11*Y90)</f>
        <v>0</v>
      </c>
      <c r="AA90" s="128"/>
      <c r="AB90" s="124">
        <v>45</v>
      </c>
      <c r="AC90" s="124">
        <v>90</v>
      </c>
      <c r="AD90" s="124" t="s">
        <v>607</v>
      </c>
      <c r="AE90" s="124">
        <v>14856</v>
      </c>
      <c r="AF90" s="124">
        <v>14891</v>
      </c>
      <c r="AG90" s="124">
        <v>6721</v>
      </c>
      <c r="AH90" s="124"/>
      <c r="AI90" s="124">
        <v>8171</v>
      </c>
      <c r="AJ90" s="124"/>
      <c r="AK90" s="124"/>
      <c r="AL90" s="124"/>
      <c r="AM90" s="124"/>
      <c r="AN90" s="124">
        <v>6666.7</v>
      </c>
      <c r="AO90" s="124"/>
      <c r="AP90" s="124"/>
      <c r="AQ90" s="124">
        <v>347</v>
      </c>
      <c r="AR90" s="124"/>
      <c r="AS90" s="124"/>
      <c r="AT90" s="124"/>
      <c r="AU90" s="124"/>
      <c r="AV90" s="124"/>
      <c r="AW90" s="124"/>
      <c r="AX90" s="124">
        <v>313</v>
      </c>
      <c r="AY90" s="124"/>
      <c r="AZ90" s="124">
        <v>584.6</v>
      </c>
      <c r="BA90" s="124">
        <v>576.5</v>
      </c>
      <c r="BB90" s="124"/>
      <c r="BC90" s="124"/>
      <c r="BD90" s="124">
        <v>22.8</v>
      </c>
      <c r="BE90" s="124"/>
      <c r="BF90" s="124">
        <v>18</v>
      </c>
      <c r="BG90" s="124"/>
      <c r="BH90" s="129">
        <v>6.9</v>
      </c>
      <c r="BI90" s="124">
        <v>1.9</v>
      </c>
    </row>
    <row r="91" spans="6:61">
      <c r="F91" s="4" t="s">
        <v>608</v>
      </c>
      <c r="G91" s="123">
        <v>0</v>
      </c>
      <c r="H91" s="123" t="s">
        <v>609</v>
      </c>
      <c r="I91" s="123">
        <v>8</v>
      </c>
      <c r="J91" s="142">
        <v>7</v>
      </c>
      <c r="K91" s="142">
        <v>1</v>
      </c>
      <c r="L91" s="142">
        <v>497</v>
      </c>
      <c r="M91" s="142">
        <v>27</v>
      </c>
      <c r="N91" s="147">
        <v>12</v>
      </c>
      <c r="O91" s="124">
        <v>8</v>
      </c>
      <c r="P91" s="123">
        <v>10.5</v>
      </c>
      <c r="Q91" s="123">
        <v>72</v>
      </c>
      <c r="R91" s="123"/>
      <c r="S91" s="125">
        <v>40.4</v>
      </c>
      <c r="T91" s="125">
        <f t="shared" si="42"/>
        <v>412.08</v>
      </c>
      <c r="U91" s="126">
        <f>IF(H91="Max",S91/21000*110*$R$376,S91/19030*71*$R$376)</f>
        <v>0</v>
      </c>
      <c r="V91" s="126">
        <f t="shared" si="43"/>
        <v>0</v>
      </c>
      <c r="W91" s="126">
        <v>0.37</v>
      </c>
      <c r="X91" s="126">
        <f>IF(G91=0,$T$10*W91,$T$11*W91)</f>
        <v>183.7938</v>
      </c>
      <c r="Y91" s="125">
        <v>27</v>
      </c>
      <c r="Z91" s="131">
        <f>IF(G91=0,$V$10*Y91,$V$11*Y91)</f>
        <v>0</v>
      </c>
      <c r="AA91" s="128"/>
      <c r="AB91" s="124">
        <v>45</v>
      </c>
      <c r="AC91" s="124">
        <v>90</v>
      </c>
      <c r="AD91" s="147" t="s">
        <v>630</v>
      </c>
      <c r="AE91" s="124">
        <v>14848</v>
      </c>
      <c r="AF91" s="124">
        <v>14875</v>
      </c>
      <c r="AG91" s="124">
        <v>6713.7</v>
      </c>
      <c r="AH91" s="124"/>
      <c r="AI91" s="124">
        <v>8162</v>
      </c>
      <c r="AJ91" s="124"/>
      <c r="AK91" s="124"/>
      <c r="AL91" s="124"/>
      <c r="AM91" s="124"/>
      <c r="AN91" s="124">
        <v>6666.7</v>
      </c>
      <c r="AO91" s="124"/>
      <c r="AP91" s="124"/>
      <c r="AQ91" s="124">
        <v>277.8</v>
      </c>
      <c r="AR91" s="124"/>
      <c r="AS91" s="124"/>
      <c r="AT91" s="124"/>
      <c r="AU91" s="124"/>
      <c r="AV91" s="124"/>
      <c r="AW91" s="124"/>
      <c r="AX91" s="124">
        <v>250</v>
      </c>
      <c r="AY91" s="124"/>
      <c r="AZ91" s="124">
        <v>584.5</v>
      </c>
      <c r="BA91" s="124">
        <v>576.5</v>
      </c>
      <c r="BB91" s="124"/>
      <c r="BC91" s="124"/>
      <c r="BD91" s="124">
        <v>32.5</v>
      </c>
      <c r="BE91" s="124"/>
      <c r="BF91" s="124">
        <v>25.4</v>
      </c>
      <c r="BG91" s="124"/>
      <c r="BH91" s="129">
        <v>6.9</v>
      </c>
      <c r="BI91" s="124">
        <v>3</v>
      </c>
    </row>
    <row r="112" spans="4:4">
      <c r="D112">
        <f>VLOOKUP(C48,A117:C154,2)</f>
        <v>96.4</v>
      </c>
    </row>
    <row r="113" spans="1:3" ht="15.75">
      <c r="A113" s="54" t="s">
        <v>595</v>
      </c>
      <c r="B113" s="54"/>
    </row>
    <row r="114" spans="1:3" ht="15.75" thickBot="1">
      <c r="A114" s="52"/>
      <c r="B114" s="52"/>
    </row>
    <row r="115" spans="1:3" ht="15.75" thickBot="1">
      <c r="A115" s="55" t="s">
        <v>596</v>
      </c>
      <c r="B115" s="55" t="s">
        <v>597</v>
      </c>
      <c r="C115" s="55" t="s">
        <v>599</v>
      </c>
    </row>
    <row r="116" spans="1:3" ht="15.75" thickBot="1">
      <c r="A116" s="55" t="s">
        <v>598</v>
      </c>
      <c r="B116" s="56">
        <v>1</v>
      </c>
      <c r="C116" s="55" t="s">
        <v>598</v>
      </c>
    </row>
    <row r="117" spans="1:3">
      <c r="A117" s="57">
        <v>0</v>
      </c>
      <c r="B117" s="58">
        <v>84.5</v>
      </c>
      <c r="C117" s="60">
        <f>A117/0.75</f>
        <v>0</v>
      </c>
    </row>
    <row r="118" spans="1:3">
      <c r="A118" s="57">
        <v>0.37</v>
      </c>
      <c r="B118" s="58">
        <v>84.5</v>
      </c>
      <c r="C118" s="59">
        <f t="shared" ref="C118:C154" si="46">A118/0.75</f>
        <v>0.49333333333333335</v>
      </c>
    </row>
    <row r="119" spans="1:3">
      <c r="A119" s="57">
        <v>0.55000000000000004</v>
      </c>
      <c r="B119" s="58">
        <v>84.5</v>
      </c>
      <c r="C119" s="59">
        <f t="shared" si="46"/>
        <v>0.73333333333333339</v>
      </c>
    </row>
    <row r="120" spans="1:3">
      <c r="A120" s="57">
        <v>0.75</v>
      </c>
      <c r="B120" s="58">
        <v>84.5</v>
      </c>
      <c r="C120" s="59">
        <f t="shared" si="46"/>
        <v>1</v>
      </c>
    </row>
    <row r="121" spans="1:3">
      <c r="A121" s="57">
        <v>1.1000000000000001</v>
      </c>
      <c r="B121" s="58">
        <v>85.9</v>
      </c>
      <c r="C121" s="59">
        <f t="shared" si="46"/>
        <v>1.4666666666666668</v>
      </c>
    </row>
    <row r="122" spans="1:3">
      <c r="A122" s="57">
        <v>1.5</v>
      </c>
      <c r="B122" s="58">
        <v>87</v>
      </c>
      <c r="C122" s="59">
        <f t="shared" si="46"/>
        <v>2</v>
      </c>
    </row>
    <row r="123" spans="1:3">
      <c r="A123" s="57">
        <v>2.2000000000000002</v>
      </c>
      <c r="B123" s="58">
        <v>88.2</v>
      </c>
      <c r="C123" s="59">
        <f t="shared" si="46"/>
        <v>2.9333333333333336</v>
      </c>
    </row>
    <row r="124" spans="1:3">
      <c r="A124" s="57">
        <v>3</v>
      </c>
      <c r="B124" s="58">
        <v>89.1</v>
      </c>
      <c r="C124" s="59">
        <f t="shared" si="46"/>
        <v>4</v>
      </c>
    </row>
    <row r="125" spans="1:3">
      <c r="A125" s="57">
        <v>4</v>
      </c>
      <c r="B125" s="58">
        <v>89.9</v>
      </c>
      <c r="C125" s="59">
        <f t="shared" si="46"/>
        <v>5.333333333333333</v>
      </c>
    </row>
    <row r="126" spans="1:3">
      <c r="A126" s="57">
        <v>5.5</v>
      </c>
      <c r="B126" s="58">
        <v>90.7</v>
      </c>
      <c r="C126" s="59">
        <f t="shared" si="46"/>
        <v>7.333333333333333</v>
      </c>
    </row>
    <row r="127" spans="1:3">
      <c r="A127" s="57">
        <v>7.5</v>
      </c>
      <c r="B127" s="58">
        <v>91.5</v>
      </c>
      <c r="C127" s="59">
        <f t="shared" si="46"/>
        <v>10</v>
      </c>
    </row>
    <row r="128" spans="1:3">
      <c r="A128" s="57">
        <v>11</v>
      </c>
      <c r="B128" s="58">
        <v>92.2</v>
      </c>
      <c r="C128" s="59">
        <f t="shared" si="46"/>
        <v>14.666666666666666</v>
      </c>
    </row>
    <row r="129" spans="1:3">
      <c r="A129" s="57">
        <v>15</v>
      </c>
      <c r="B129" s="58">
        <v>92.9</v>
      </c>
      <c r="C129" s="59">
        <f t="shared" si="46"/>
        <v>20</v>
      </c>
    </row>
    <row r="130" spans="1:3">
      <c r="A130" s="57">
        <v>18.5</v>
      </c>
      <c r="B130" s="58">
        <v>93.3</v>
      </c>
      <c r="C130" s="59">
        <f t="shared" si="46"/>
        <v>24.666666666666668</v>
      </c>
    </row>
    <row r="131" spans="1:3">
      <c r="A131" s="57">
        <v>22</v>
      </c>
      <c r="B131" s="58">
        <v>93.6</v>
      </c>
      <c r="C131" s="59">
        <f t="shared" si="46"/>
        <v>29.333333333333332</v>
      </c>
    </row>
    <row r="132" spans="1:3">
      <c r="A132" s="57">
        <v>30</v>
      </c>
      <c r="B132" s="58">
        <v>94.2</v>
      </c>
      <c r="C132" s="59">
        <f t="shared" si="46"/>
        <v>40</v>
      </c>
    </row>
    <row r="133" spans="1:3">
      <c r="A133" s="57">
        <v>37</v>
      </c>
      <c r="B133" s="58">
        <v>94.5</v>
      </c>
      <c r="C133" s="59">
        <f t="shared" si="46"/>
        <v>49.333333333333336</v>
      </c>
    </row>
    <row r="134" spans="1:3">
      <c r="A134" s="57">
        <v>45</v>
      </c>
      <c r="B134" s="58">
        <v>94.8</v>
      </c>
      <c r="C134" s="59">
        <f t="shared" si="46"/>
        <v>60</v>
      </c>
    </row>
    <row r="135" spans="1:3">
      <c r="A135" s="57">
        <v>55</v>
      </c>
      <c r="B135" s="58">
        <v>95</v>
      </c>
      <c r="C135" s="59">
        <f t="shared" si="46"/>
        <v>73.333333333333329</v>
      </c>
    </row>
    <row r="136" spans="1:3">
      <c r="A136" s="57">
        <v>75</v>
      </c>
      <c r="B136" s="58">
        <v>95.5</v>
      </c>
      <c r="C136" s="59">
        <f t="shared" si="46"/>
        <v>100</v>
      </c>
    </row>
    <row r="137" spans="1:3">
      <c r="A137" s="57">
        <v>90</v>
      </c>
      <c r="B137" s="58">
        <v>95.7</v>
      </c>
      <c r="C137" s="59">
        <f t="shared" si="46"/>
        <v>120</v>
      </c>
    </row>
    <row r="138" spans="1:3">
      <c r="A138" s="57">
        <v>110</v>
      </c>
      <c r="B138" s="58">
        <v>96</v>
      </c>
      <c r="C138" s="59">
        <f t="shared" si="46"/>
        <v>146.66666666666666</v>
      </c>
    </row>
    <row r="139" spans="1:3">
      <c r="A139" s="57">
        <v>132</v>
      </c>
      <c r="B139" s="58">
        <v>96.1</v>
      </c>
      <c r="C139" s="59">
        <f t="shared" si="46"/>
        <v>176</v>
      </c>
    </row>
    <row r="140" spans="1:3">
      <c r="A140" s="57">
        <v>150</v>
      </c>
      <c r="B140" s="58">
        <v>96.3</v>
      </c>
      <c r="C140" s="59">
        <f t="shared" si="46"/>
        <v>200</v>
      </c>
    </row>
    <row r="141" spans="1:3">
      <c r="A141" s="57">
        <v>185</v>
      </c>
      <c r="B141" s="58">
        <v>96.3</v>
      </c>
      <c r="C141" s="59">
        <f t="shared" si="46"/>
        <v>246.66666666666666</v>
      </c>
    </row>
    <row r="142" spans="1:3">
      <c r="A142" s="57">
        <v>200</v>
      </c>
      <c r="B142" s="58">
        <v>96.3</v>
      </c>
      <c r="C142" s="59">
        <f t="shared" si="46"/>
        <v>266.66666666666669</v>
      </c>
    </row>
    <row r="143" spans="1:3">
      <c r="A143" s="57">
        <v>220</v>
      </c>
      <c r="B143" s="58">
        <v>96.3</v>
      </c>
      <c r="C143" s="59">
        <f t="shared" si="46"/>
        <v>293.33333333333331</v>
      </c>
    </row>
    <row r="144" spans="1:3">
      <c r="A144" s="57">
        <v>260</v>
      </c>
      <c r="B144" s="58">
        <v>96.3</v>
      </c>
      <c r="C144" s="59">
        <f t="shared" si="46"/>
        <v>346.66666666666669</v>
      </c>
    </row>
    <row r="145" spans="1:3">
      <c r="A145" s="57">
        <v>280</v>
      </c>
      <c r="B145" s="58">
        <v>96.3</v>
      </c>
      <c r="C145" s="59">
        <f t="shared" si="46"/>
        <v>373.33333333333331</v>
      </c>
    </row>
    <row r="146" spans="1:3">
      <c r="A146" s="57">
        <v>315</v>
      </c>
      <c r="B146" s="58">
        <v>96.3</v>
      </c>
      <c r="C146" s="59">
        <f t="shared" si="46"/>
        <v>420</v>
      </c>
    </row>
    <row r="147" spans="1:3">
      <c r="A147" s="57">
        <v>355</v>
      </c>
      <c r="B147" s="58">
        <v>96.3</v>
      </c>
      <c r="C147" s="59">
        <f t="shared" si="46"/>
        <v>473.33333333333331</v>
      </c>
    </row>
    <row r="148" spans="1:3">
      <c r="A148" s="57">
        <v>400</v>
      </c>
      <c r="B148" s="58">
        <v>96.3</v>
      </c>
      <c r="C148" s="59">
        <f t="shared" si="46"/>
        <v>533.33333333333337</v>
      </c>
    </row>
    <row r="149" spans="1:3">
      <c r="A149" s="57">
        <v>450</v>
      </c>
      <c r="B149" s="58">
        <v>96.4</v>
      </c>
      <c r="C149" s="59">
        <f t="shared" si="46"/>
        <v>600</v>
      </c>
    </row>
    <row r="150" spans="1:3">
      <c r="A150" s="57">
        <v>540</v>
      </c>
      <c r="B150" s="58">
        <v>96.5</v>
      </c>
      <c r="C150" s="59">
        <f t="shared" si="46"/>
        <v>720</v>
      </c>
    </row>
    <row r="151" spans="1:3">
      <c r="A151" s="57">
        <v>575</v>
      </c>
      <c r="B151" s="58">
        <v>96.5</v>
      </c>
      <c r="C151" s="59">
        <f t="shared" si="46"/>
        <v>766.66666666666663</v>
      </c>
    </row>
    <row r="152" spans="1:3">
      <c r="A152" s="57">
        <v>610</v>
      </c>
      <c r="B152" s="58">
        <v>96.5</v>
      </c>
      <c r="C152" s="59">
        <f t="shared" si="46"/>
        <v>813.33333333333337</v>
      </c>
    </row>
    <row r="153" spans="1:3">
      <c r="A153" s="57">
        <v>1350</v>
      </c>
      <c r="B153" s="58">
        <v>96.5</v>
      </c>
      <c r="C153" s="59">
        <f t="shared" si="46"/>
        <v>1800</v>
      </c>
    </row>
    <row r="154" spans="1:3">
      <c r="A154" s="57">
        <v>4500</v>
      </c>
      <c r="B154" s="58">
        <v>96.5</v>
      </c>
      <c r="C154" s="59">
        <f t="shared" si="46"/>
        <v>6000</v>
      </c>
    </row>
  </sheetData>
  <mergeCells count="10">
    <mergeCell ref="AZ1:BF1"/>
    <mergeCell ref="AZ2:BA2"/>
    <mergeCell ref="BD2:BF2"/>
    <mergeCell ref="BH1:BI2"/>
    <mergeCell ref="O3:P3"/>
    <mergeCell ref="J3:K3"/>
    <mergeCell ref="AB3:AC3"/>
    <mergeCell ref="AE1:AX1"/>
    <mergeCell ref="AE2:AN2"/>
    <mergeCell ref="AQ2:AX2"/>
  </mergeCells>
  <pageMargins left="0.7" right="0.7" top="0.5" bottom="0.25" header="0.3" footer="0.3"/>
  <pageSetup paperSize="17" scale="48" orientation="landscape" verticalDpi="0"/>
  <drawing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A1:BE98"/>
  <sheetViews>
    <sheetView tabSelected="1" zoomScale="75" zoomScaleNormal="75" zoomScaleSheetLayoutView="75" workbookViewId="0">
      <pane xSplit="7875" ySplit="2055" activePane="bottomRight"/>
      <selection activeCell="B2" sqref="A1:B2"/>
      <selection pane="topRight" activeCell="BF1" sqref="BF1:GB1048576"/>
      <selection pane="bottomLeft" activeCell="A102" sqref="A102"/>
      <selection pane="bottomRight" activeCell="L13" sqref="F13:L57"/>
    </sheetView>
  </sheetViews>
  <sheetFormatPr defaultRowHeight="15"/>
  <cols>
    <col min="1" max="1" width="4.28515625" customWidth="1"/>
    <col min="2" max="2" width="39" customWidth="1"/>
    <col min="3" max="3" width="6.85546875" customWidth="1"/>
    <col min="4" max="4" width="7" customWidth="1"/>
    <col min="5" max="7" width="6.7109375" customWidth="1"/>
    <col min="11" max="14" width="6.7109375" customWidth="1"/>
    <col min="15" max="15" width="10" customWidth="1"/>
    <col min="16" max="16" width="10.42578125" customWidth="1"/>
    <col min="17" max="17" width="9.85546875" customWidth="1"/>
    <col min="18" max="18" width="9" customWidth="1"/>
    <col min="19" max="19" width="9.28515625" customWidth="1"/>
    <col min="20" max="20" width="10.28515625" customWidth="1"/>
    <col min="21" max="21" width="10.140625" customWidth="1"/>
    <col min="22" max="22" width="10" customWidth="1"/>
    <col min="23" max="23" width="6.7109375" hidden="1" customWidth="1"/>
    <col min="24" max="24" width="6.7109375" style="65" customWidth="1"/>
    <col min="25" max="25" width="7.7109375" style="65" customWidth="1"/>
    <col min="26" max="26" width="11" style="65" customWidth="1"/>
    <col min="27" max="27" width="20" style="65" customWidth="1"/>
    <col min="28" max="28" width="12" style="65" customWidth="1"/>
    <col min="29" max="29" width="9.28515625" style="65" customWidth="1"/>
    <col min="30" max="30" width="14.140625" style="65" hidden="1" customWidth="1"/>
    <col min="31" max="31" width="10.7109375" style="65" customWidth="1"/>
    <col min="32" max="32" width="0" style="65" hidden="1" customWidth="1"/>
    <col min="33" max="33" width="16.28515625" style="65" hidden="1" customWidth="1"/>
    <col min="34" max="34" width="0" style="65" hidden="1" customWidth="1"/>
    <col min="35" max="35" width="11.7109375" style="65" hidden="1" customWidth="1"/>
    <col min="36" max="36" width="10.140625" style="65" customWidth="1"/>
    <col min="37" max="38" width="0" style="65" hidden="1" customWidth="1"/>
    <col min="39" max="39" width="8.5703125" style="65" customWidth="1"/>
    <col min="40" max="40" width="14" style="65" hidden="1" customWidth="1"/>
    <col min="41" max="41" width="13.28515625" style="65" hidden="1" customWidth="1"/>
    <col min="42" max="44" width="0" style="65" hidden="1" customWidth="1"/>
    <col min="45" max="45" width="14.28515625" style="65" hidden="1" customWidth="1"/>
    <col min="46" max="46" width="12.85546875" style="65" customWidth="1"/>
    <col min="47" max="47" width="11.5703125" style="65" hidden="1" customWidth="1"/>
    <col min="48" max="48" width="14" style="65" customWidth="1"/>
    <col min="49" max="49" width="9.28515625" style="65" bestFit="1" customWidth="1"/>
    <col min="50" max="51" width="0" style="65" hidden="1" customWidth="1"/>
    <col min="52" max="52" width="8.5703125" style="65" customWidth="1"/>
    <col min="53" max="53" width="14.140625" style="65" hidden="1" customWidth="1"/>
    <col min="54" max="54" width="9.28515625" style="65" bestFit="1" customWidth="1"/>
    <col min="55" max="55" width="0" style="65" hidden="1" customWidth="1"/>
    <col min="56" max="57" width="9.28515625" style="65" bestFit="1" customWidth="1"/>
  </cols>
  <sheetData>
    <row r="1" spans="1:57">
      <c r="A1" s="25"/>
      <c r="B1" s="26" t="s">
        <v>46</v>
      </c>
      <c r="C1" s="3"/>
      <c r="D1" s="3"/>
      <c r="E1" s="3"/>
      <c r="F1" s="3"/>
      <c r="G1" s="3"/>
      <c r="H1" s="3"/>
      <c r="I1" s="3"/>
      <c r="J1" s="23"/>
      <c r="K1" s="23"/>
      <c r="L1" s="3"/>
      <c r="M1" s="3"/>
      <c r="N1" s="3"/>
      <c r="O1" s="3"/>
      <c r="P1" s="3"/>
      <c r="Q1" s="3" t="s">
        <v>50</v>
      </c>
      <c r="R1" s="3">
        <v>1.3</v>
      </c>
      <c r="S1" s="2"/>
      <c r="T1" s="2"/>
      <c r="U1" s="2"/>
      <c r="V1" s="2"/>
      <c r="W1" s="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row>
    <row r="2" spans="1:57">
      <c r="A2" s="25"/>
      <c r="B2" s="26" t="s">
        <v>46</v>
      </c>
      <c r="C2" s="3"/>
      <c r="D2" s="3"/>
      <c r="E2" s="3"/>
      <c r="F2" s="3"/>
      <c r="G2" s="3"/>
      <c r="H2" s="3"/>
      <c r="I2" s="3"/>
      <c r="J2" s="23"/>
      <c r="K2" s="23"/>
      <c r="L2" s="3"/>
      <c r="M2" s="3"/>
      <c r="N2" s="3"/>
      <c r="O2" s="161" t="s">
        <v>57</v>
      </c>
      <c r="P2" s="156"/>
      <c r="Q2" s="156"/>
      <c r="R2" s="156"/>
      <c r="S2" s="156"/>
      <c r="T2" s="156"/>
      <c r="U2" s="156"/>
      <c r="V2" s="156"/>
      <c r="W2" s="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row>
    <row r="3" spans="1:57" ht="15.75" thickBot="1">
      <c r="C3" s="3"/>
      <c r="D3" s="3"/>
      <c r="E3" s="3"/>
      <c r="F3" s="3"/>
      <c r="G3" s="3"/>
      <c r="H3" s="3"/>
      <c r="I3" s="3"/>
      <c r="J3" s="23"/>
      <c r="K3" s="23" t="s">
        <v>46</v>
      </c>
      <c r="L3" s="3"/>
      <c r="M3" s="3"/>
      <c r="N3" s="3"/>
      <c r="O3" s="62" t="s">
        <v>65</v>
      </c>
      <c r="P3" s="62" t="s">
        <v>605</v>
      </c>
      <c r="Q3" s="62" t="s">
        <v>65</v>
      </c>
      <c r="R3" s="62" t="s">
        <v>605</v>
      </c>
      <c r="S3" s="62" t="s">
        <v>65</v>
      </c>
      <c r="T3" s="62" t="s">
        <v>605</v>
      </c>
      <c r="U3" s="62" t="s">
        <v>65</v>
      </c>
      <c r="V3" s="62" t="s">
        <v>605</v>
      </c>
      <c r="W3" s="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row>
    <row r="4" spans="1:57" ht="15.75" thickBot="1">
      <c r="B4" s="1"/>
      <c r="C4" s="1"/>
      <c r="D4" s="1"/>
      <c r="E4" s="2"/>
      <c r="F4" s="2"/>
      <c r="G4" s="2"/>
      <c r="H4" s="2"/>
      <c r="I4" s="2"/>
      <c r="J4" s="2"/>
      <c r="K4" s="2" t="s">
        <v>46</v>
      </c>
      <c r="L4" s="2"/>
      <c r="M4" s="2"/>
      <c r="N4" s="2"/>
      <c r="O4" s="69">
        <v>60</v>
      </c>
      <c r="P4" s="70">
        <v>100</v>
      </c>
      <c r="Q4" s="69">
        <v>0.3</v>
      </c>
      <c r="R4" s="70">
        <v>0.5</v>
      </c>
      <c r="S4" s="69">
        <v>0.5</v>
      </c>
      <c r="T4" s="70">
        <v>0.7</v>
      </c>
      <c r="U4" s="69">
        <v>35</v>
      </c>
      <c r="V4" s="70">
        <v>60</v>
      </c>
      <c r="W4" s="2"/>
      <c r="X4" s="2"/>
      <c r="Y4" s="15"/>
      <c r="Z4" s="15"/>
      <c r="AA4" s="164" t="s">
        <v>66</v>
      </c>
      <c r="AB4" s="162"/>
      <c r="AC4" s="162"/>
      <c r="AD4" s="162"/>
      <c r="AE4" s="162"/>
      <c r="AF4" s="162"/>
      <c r="AG4" s="162"/>
      <c r="AH4" s="162"/>
      <c r="AI4" s="162"/>
      <c r="AJ4" s="162"/>
      <c r="AK4" s="162"/>
      <c r="AL4" s="162"/>
      <c r="AM4" s="162"/>
      <c r="AN4" s="162"/>
      <c r="AO4" s="162"/>
      <c r="AP4" s="162"/>
      <c r="AQ4" s="162"/>
      <c r="AR4" s="162"/>
      <c r="AS4" s="162"/>
      <c r="AT4" s="163"/>
      <c r="AU4" s="164" t="s">
        <v>51</v>
      </c>
      <c r="AV4" s="165"/>
      <c r="AW4" s="165"/>
      <c r="AX4" s="165"/>
      <c r="AY4" s="165"/>
      <c r="AZ4" s="165"/>
      <c r="BA4" s="165"/>
      <c r="BB4" s="165"/>
      <c r="BC4" s="166"/>
      <c r="BD4" s="164" t="s">
        <v>52</v>
      </c>
      <c r="BE4" s="165"/>
    </row>
    <row r="5" spans="1:57" ht="15.75" thickBot="1">
      <c r="B5" s="3" t="s">
        <v>46</v>
      </c>
      <c r="C5" s="3" t="s">
        <v>46</v>
      </c>
      <c r="D5" s="3"/>
      <c r="E5" s="4"/>
      <c r="F5" s="4"/>
      <c r="G5" s="4"/>
      <c r="H5" s="4"/>
      <c r="I5" s="4" t="s">
        <v>46</v>
      </c>
      <c r="J5" s="3" t="s">
        <v>46</v>
      </c>
      <c r="K5" s="3" t="s">
        <v>46</v>
      </c>
      <c r="L5" s="3"/>
      <c r="M5" s="3"/>
      <c r="N5" s="3"/>
      <c r="O5" s="158" t="s">
        <v>614</v>
      </c>
      <c r="P5" s="167"/>
      <c r="Q5" s="167"/>
      <c r="R5" s="167"/>
      <c r="S5" s="167"/>
      <c r="T5" s="167"/>
      <c r="U5" s="167"/>
      <c r="V5" s="168"/>
      <c r="W5" s="3"/>
      <c r="X5" s="3"/>
      <c r="Y5" s="3"/>
      <c r="Z5" s="3"/>
      <c r="AA5" s="158" t="s">
        <v>0</v>
      </c>
      <c r="AB5" s="162"/>
      <c r="AC5" s="162"/>
      <c r="AD5" s="162"/>
      <c r="AE5" s="162"/>
      <c r="AF5" s="67"/>
      <c r="AG5" s="67"/>
      <c r="AH5" s="67"/>
      <c r="AI5" s="67"/>
      <c r="AJ5" s="5" t="s">
        <v>63</v>
      </c>
      <c r="AK5" s="5" t="s">
        <v>1</v>
      </c>
      <c r="AL5" s="66" t="s">
        <v>2</v>
      </c>
      <c r="AM5" s="158" t="s">
        <v>64</v>
      </c>
      <c r="AN5" s="162"/>
      <c r="AO5" s="162"/>
      <c r="AP5" s="162"/>
      <c r="AQ5" s="162"/>
      <c r="AR5" s="162"/>
      <c r="AS5" s="162"/>
      <c r="AT5" s="163"/>
      <c r="AU5" s="158" t="s">
        <v>0</v>
      </c>
      <c r="AV5" s="160"/>
      <c r="AW5" s="160"/>
      <c r="AX5" s="159"/>
      <c r="AY5" s="158" t="s">
        <v>2</v>
      </c>
      <c r="AZ5" s="160"/>
      <c r="BA5" s="160"/>
      <c r="BB5" s="160"/>
      <c r="BC5" s="159"/>
      <c r="BD5" s="66" t="s">
        <v>3</v>
      </c>
      <c r="BE5" s="119" t="s">
        <v>2</v>
      </c>
    </row>
    <row r="6" spans="1:57" ht="15.75" thickBot="1">
      <c r="B6" s="6" t="s">
        <v>4</v>
      </c>
      <c r="C6" s="7" t="s">
        <v>5</v>
      </c>
      <c r="D6" s="7" t="s">
        <v>6</v>
      </c>
      <c r="E6" s="8" t="s">
        <v>7</v>
      </c>
      <c r="F6" s="158" t="s">
        <v>8</v>
      </c>
      <c r="G6" s="159"/>
      <c r="H6" s="158" t="s">
        <v>48</v>
      </c>
      <c r="I6" s="160"/>
      <c r="J6" s="159"/>
      <c r="K6" s="158" t="s">
        <v>9</v>
      </c>
      <c r="L6" s="159"/>
      <c r="M6" s="158" t="s">
        <v>6</v>
      </c>
      <c r="N6" s="159"/>
      <c r="O6" s="158" t="s">
        <v>10</v>
      </c>
      <c r="P6" s="159"/>
      <c r="Q6" s="158" t="s">
        <v>11</v>
      </c>
      <c r="R6" s="159"/>
      <c r="S6" s="158" t="s">
        <v>12</v>
      </c>
      <c r="T6" s="159"/>
      <c r="U6" s="158" t="s">
        <v>49</v>
      </c>
      <c r="V6" s="159"/>
      <c r="W6" s="158" t="s">
        <v>13</v>
      </c>
      <c r="X6" s="160"/>
      <c r="Y6" s="159"/>
      <c r="Z6" s="16" t="s">
        <v>14</v>
      </c>
      <c r="AA6" s="8" t="s">
        <v>59</v>
      </c>
      <c r="AB6" s="8" t="s">
        <v>21</v>
      </c>
      <c r="AC6" s="8" t="s">
        <v>22</v>
      </c>
      <c r="AD6" s="9" t="s">
        <v>15</v>
      </c>
      <c r="AE6" s="8" t="s">
        <v>62</v>
      </c>
      <c r="AF6" s="9" t="s">
        <v>16</v>
      </c>
      <c r="AG6" s="8" t="s">
        <v>17</v>
      </c>
      <c r="AH6" s="9" t="s">
        <v>18</v>
      </c>
      <c r="AI6" s="8" t="s">
        <v>19</v>
      </c>
      <c r="AJ6" s="7" t="s">
        <v>63</v>
      </c>
      <c r="AK6" s="7" t="s">
        <v>20</v>
      </c>
      <c r="AL6" s="5" t="s">
        <v>1</v>
      </c>
      <c r="AM6" s="8" t="s">
        <v>21</v>
      </c>
      <c r="AN6" s="10" t="s">
        <v>22</v>
      </c>
      <c r="AO6" s="8" t="s">
        <v>23</v>
      </c>
      <c r="AP6" s="8" t="s">
        <v>24</v>
      </c>
      <c r="AQ6" s="8" t="s">
        <v>25</v>
      </c>
      <c r="AR6" s="8" t="s">
        <v>26</v>
      </c>
      <c r="AS6" s="8" t="s">
        <v>27</v>
      </c>
      <c r="AT6" s="33" t="s">
        <v>28</v>
      </c>
      <c r="AU6" s="8" t="s">
        <v>28</v>
      </c>
      <c r="AV6" s="8" t="s">
        <v>22</v>
      </c>
      <c r="AW6" s="8" t="s">
        <v>29</v>
      </c>
      <c r="AX6" s="8" t="s">
        <v>30</v>
      </c>
      <c r="AY6" s="8" t="s">
        <v>31</v>
      </c>
      <c r="AZ6" s="8" t="s">
        <v>21</v>
      </c>
      <c r="BA6" s="8" t="s">
        <v>23</v>
      </c>
      <c r="BB6" s="8" t="s">
        <v>53</v>
      </c>
      <c r="BC6" s="8" t="s">
        <v>32</v>
      </c>
      <c r="BD6" s="8" t="s">
        <v>46</v>
      </c>
      <c r="BE6" s="8" t="s">
        <v>46</v>
      </c>
    </row>
    <row r="7" spans="1:57" ht="15.75" thickBot="1">
      <c r="B7" s="11" t="s">
        <v>33</v>
      </c>
      <c r="C7" s="20"/>
      <c r="D7" s="20" t="s">
        <v>34</v>
      </c>
      <c r="E7" s="5" t="s">
        <v>35</v>
      </c>
      <c r="F7" s="11" t="s">
        <v>36</v>
      </c>
      <c r="G7" s="12" t="s">
        <v>37</v>
      </c>
      <c r="H7" s="11" t="s">
        <v>0</v>
      </c>
      <c r="I7" s="21" t="s">
        <v>38</v>
      </c>
      <c r="J7" s="12" t="s">
        <v>39</v>
      </c>
      <c r="K7" s="11" t="s">
        <v>36</v>
      </c>
      <c r="L7" s="12" t="s">
        <v>37</v>
      </c>
      <c r="M7" s="5" t="s">
        <v>34</v>
      </c>
      <c r="N7" s="5" t="s">
        <v>46</v>
      </c>
      <c r="O7" s="5" t="s">
        <v>616</v>
      </c>
      <c r="P7" s="5" t="s">
        <v>615</v>
      </c>
      <c r="Q7" s="5" t="s">
        <v>616</v>
      </c>
      <c r="R7" s="5" t="s">
        <v>615</v>
      </c>
      <c r="S7" s="5" t="s">
        <v>616</v>
      </c>
      <c r="T7" s="5" t="s">
        <v>615</v>
      </c>
      <c r="U7" s="5" t="s">
        <v>616</v>
      </c>
      <c r="V7" s="5" t="s">
        <v>615</v>
      </c>
      <c r="W7" s="20" t="s">
        <v>40</v>
      </c>
      <c r="X7" s="11" t="s">
        <v>36</v>
      </c>
      <c r="Y7" s="13" t="s">
        <v>37</v>
      </c>
      <c r="Z7" s="67" t="s">
        <v>41</v>
      </c>
      <c r="AA7" s="14" t="s">
        <v>42</v>
      </c>
      <c r="AB7" s="5" t="s">
        <v>60</v>
      </c>
      <c r="AC7" s="5" t="s">
        <v>61</v>
      </c>
      <c r="AD7" s="5"/>
      <c r="AE7" s="5" t="s">
        <v>45</v>
      </c>
      <c r="AF7" s="5" t="s">
        <v>43</v>
      </c>
      <c r="AG7" s="5"/>
      <c r="AH7" s="5"/>
      <c r="AI7" s="5" t="s">
        <v>46</v>
      </c>
      <c r="AJ7" s="5" t="s">
        <v>28</v>
      </c>
      <c r="AK7" s="5" t="s">
        <v>46</v>
      </c>
      <c r="AL7" s="5" t="s">
        <v>46</v>
      </c>
      <c r="AM7" s="5" t="s">
        <v>46</v>
      </c>
      <c r="AN7" s="9" t="s">
        <v>44</v>
      </c>
      <c r="AO7" s="5" t="s">
        <v>46</v>
      </c>
      <c r="AP7" s="5" t="s">
        <v>46</v>
      </c>
      <c r="AQ7" s="5" t="s">
        <v>46</v>
      </c>
      <c r="AR7" s="5"/>
      <c r="AS7" s="5" t="s">
        <v>46</v>
      </c>
      <c r="AT7" s="5" t="s">
        <v>46</v>
      </c>
      <c r="AU7" s="5" t="s">
        <v>46</v>
      </c>
      <c r="AV7" s="5" t="s">
        <v>46</v>
      </c>
      <c r="AW7" s="5" t="s">
        <v>46</v>
      </c>
      <c r="AX7" s="66" t="s">
        <v>46</v>
      </c>
      <c r="AY7" s="66" t="s">
        <v>46</v>
      </c>
      <c r="AZ7" s="66" t="s">
        <v>46</v>
      </c>
      <c r="BA7" s="66" t="s">
        <v>46</v>
      </c>
      <c r="BB7" s="66" t="s">
        <v>46</v>
      </c>
      <c r="BC7" s="66" t="s">
        <v>46</v>
      </c>
      <c r="BD7" s="66" t="s">
        <v>46</v>
      </c>
      <c r="BE7" s="5" t="s">
        <v>46</v>
      </c>
    </row>
    <row r="8" spans="1:57">
      <c r="B8" s="155" t="s">
        <v>58</v>
      </c>
      <c r="C8" s="27"/>
      <c r="D8" s="27"/>
      <c r="E8" s="27"/>
      <c r="F8" s="27"/>
      <c r="G8" s="27"/>
      <c r="H8" s="27"/>
      <c r="I8" s="27"/>
      <c r="J8" s="27" t="s">
        <v>635</v>
      </c>
      <c r="K8" s="29"/>
      <c r="L8" s="27"/>
      <c r="M8" s="27"/>
      <c r="N8" s="28">
        <v>1.3</v>
      </c>
      <c r="O8" s="28">
        <v>34</v>
      </c>
      <c r="P8" s="28">
        <v>1.3</v>
      </c>
      <c r="Q8" s="28"/>
      <c r="R8" s="28">
        <v>1.3</v>
      </c>
      <c r="S8" s="28">
        <v>0.38</v>
      </c>
      <c r="T8" s="28">
        <v>1.3</v>
      </c>
      <c r="U8" s="28">
        <v>26.5</v>
      </c>
      <c r="V8" s="28">
        <v>1.3</v>
      </c>
      <c r="W8" s="29"/>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154" t="s">
        <v>46</v>
      </c>
      <c r="BE8" s="28"/>
    </row>
    <row r="9" spans="1:57" ht="17.25" customHeight="1">
      <c r="B9" s="27" t="s">
        <v>46</v>
      </c>
      <c r="C9" s="27"/>
      <c r="D9" s="27"/>
      <c r="E9" s="27"/>
      <c r="F9" s="27"/>
      <c r="G9" s="27"/>
      <c r="H9" s="27"/>
      <c r="I9" s="27"/>
      <c r="J9" s="27" t="s">
        <v>636</v>
      </c>
      <c r="K9" s="29"/>
      <c r="L9" s="27"/>
      <c r="M9" s="27" t="s">
        <v>46</v>
      </c>
      <c r="N9" s="30">
        <v>1.5</v>
      </c>
      <c r="O9" s="48">
        <v>29</v>
      </c>
      <c r="P9" s="30">
        <v>1.5</v>
      </c>
      <c r="Q9" s="28"/>
      <c r="R9" s="28">
        <v>1.5</v>
      </c>
      <c r="S9" s="28">
        <v>0.33</v>
      </c>
      <c r="T9" s="28">
        <v>1.5</v>
      </c>
      <c r="U9" s="28">
        <v>23</v>
      </c>
      <c r="V9" s="28">
        <v>1.5</v>
      </c>
      <c r="W9" s="29"/>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154" t="s">
        <v>46</v>
      </c>
      <c r="BE9" s="72"/>
    </row>
    <row r="10" spans="1:57" s="106" customFormat="1">
      <c r="A10" s="104"/>
      <c r="B10" s="50" t="s">
        <v>608</v>
      </c>
      <c r="C10" s="76">
        <v>5</v>
      </c>
      <c r="D10" s="76" t="s">
        <v>47</v>
      </c>
      <c r="E10" s="76">
        <v>20</v>
      </c>
      <c r="F10" s="76">
        <v>6</v>
      </c>
      <c r="G10" s="76">
        <v>2</v>
      </c>
      <c r="H10" s="76">
        <v>426</v>
      </c>
      <c r="I10" s="76">
        <v>54</v>
      </c>
      <c r="J10" s="77">
        <v>24</v>
      </c>
      <c r="K10" s="77">
        <v>8.3000000000000007</v>
      </c>
      <c r="L10" s="76">
        <v>10.199999999999999</v>
      </c>
      <c r="M10" s="49">
        <v>86.3</v>
      </c>
      <c r="N10" s="49"/>
      <c r="O10" s="49">
        <v>48.4</v>
      </c>
      <c r="P10" s="83">
        <f>IF(C10=0,$P$8*O10,$P$9*O10)</f>
        <v>72.599999999999994</v>
      </c>
      <c r="Q10" s="88">
        <f>IF(D10="Max",O10/21000*110*$R$98,O10/19030*71*$R$98)</f>
        <v>0.32958095238095236</v>
      </c>
      <c r="R10" s="89">
        <f>IF(C10=0,$R$8*Q10,$R$9*Q10)</f>
        <v>0.49437142857142857</v>
      </c>
      <c r="S10" s="49">
        <v>0.43</v>
      </c>
      <c r="T10" s="88">
        <f>IF(C10=0,$T$8*S10,$T$9*S10)</f>
        <v>0.64500000000000002</v>
      </c>
      <c r="U10" s="49">
        <v>32.200000000000003</v>
      </c>
      <c r="V10" s="83">
        <f>IF(C10=0,$V$8*U10,$V$9*U10)</f>
        <v>48.300000000000004</v>
      </c>
      <c r="W10" s="53"/>
      <c r="X10" s="51">
        <v>45</v>
      </c>
      <c r="Y10" s="51">
        <v>90</v>
      </c>
      <c r="Z10" s="51" t="s">
        <v>606</v>
      </c>
      <c r="AA10" s="51">
        <v>15043</v>
      </c>
      <c r="AB10" s="51">
        <v>15230</v>
      </c>
      <c r="AC10" s="51">
        <v>6873.9</v>
      </c>
      <c r="AD10" s="51"/>
      <c r="AE10" s="51">
        <v>8356.7999999999993</v>
      </c>
      <c r="AF10" s="51"/>
      <c r="AG10" s="51"/>
      <c r="AH10" s="51"/>
      <c r="AI10" s="51"/>
      <c r="AJ10" s="51">
        <v>6666.7</v>
      </c>
      <c r="AK10" s="51"/>
      <c r="AL10" s="51"/>
      <c r="AM10" s="51">
        <v>1875</v>
      </c>
      <c r="AN10" s="51"/>
      <c r="AO10" s="51"/>
      <c r="AP10" s="51"/>
      <c r="AQ10" s="51"/>
      <c r="AR10" s="51"/>
      <c r="AS10" s="51"/>
      <c r="AT10" s="51">
        <v>1687.5</v>
      </c>
      <c r="AU10" s="51"/>
      <c r="AV10" s="51">
        <v>849.8</v>
      </c>
      <c r="AW10" s="51">
        <v>839.9</v>
      </c>
      <c r="AX10" s="51"/>
      <c r="AY10" s="51"/>
      <c r="AZ10" s="51">
        <v>88.6</v>
      </c>
      <c r="BA10" s="51"/>
      <c r="BB10" s="51">
        <v>63</v>
      </c>
      <c r="BC10" s="51"/>
      <c r="BD10" s="74">
        <v>8.3000000000000007</v>
      </c>
      <c r="BE10" s="74">
        <v>10.1</v>
      </c>
    </row>
    <row r="11" spans="1:57" s="106" customFormat="1">
      <c r="A11" s="104"/>
      <c r="B11" s="50" t="s">
        <v>608</v>
      </c>
      <c r="C11" s="76">
        <v>5</v>
      </c>
      <c r="D11" s="76" t="s">
        <v>47</v>
      </c>
      <c r="E11" s="76">
        <v>8</v>
      </c>
      <c r="F11" s="76">
        <v>6</v>
      </c>
      <c r="G11" s="76">
        <v>2</v>
      </c>
      <c r="H11" s="76">
        <v>426</v>
      </c>
      <c r="I11" s="76">
        <v>54</v>
      </c>
      <c r="J11" s="77">
        <v>24</v>
      </c>
      <c r="K11" s="77">
        <v>8.3000000000000007</v>
      </c>
      <c r="L11" s="76">
        <v>10.199999999999999</v>
      </c>
      <c r="M11" s="49">
        <v>85.8</v>
      </c>
      <c r="N11" s="49"/>
      <c r="O11" s="49">
        <v>48</v>
      </c>
      <c r="P11" s="83">
        <f>IF(C11=0,$P$8*O11,$P$9*O11)</f>
        <v>72</v>
      </c>
      <c r="Q11" s="88">
        <f>IF(D11="Max",O11/21000*110*$R$98,O11/19030*71*$R$98)</f>
        <v>0.3268571428571429</v>
      </c>
      <c r="R11" s="89">
        <f>IF(C11=0,$R$8*Q11,$R$9*Q11)</f>
        <v>0.49028571428571432</v>
      </c>
      <c r="S11" s="49">
        <v>0.35</v>
      </c>
      <c r="T11" s="88">
        <f>IF(C11=0,$T$8*S11,$T$9*S11)</f>
        <v>0.52499999999999991</v>
      </c>
      <c r="U11" s="49">
        <v>32.1</v>
      </c>
      <c r="V11" s="83">
        <f>IF(C11=0,$V$8*U11,$V$9*U11)</f>
        <v>48.150000000000006</v>
      </c>
      <c r="W11" s="53"/>
      <c r="X11" s="51">
        <v>45</v>
      </c>
      <c r="Y11" s="51">
        <v>90</v>
      </c>
      <c r="Z11" s="51" t="s">
        <v>606</v>
      </c>
      <c r="AA11" s="51">
        <v>14890</v>
      </c>
      <c r="AB11" s="51">
        <v>14952</v>
      </c>
      <c r="AC11" s="51">
        <v>6748.5</v>
      </c>
      <c r="AD11" s="51"/>
      <c r="AE11" s="51">
        <v>8204.4</v>
      </c>
      <c r="AF11" s="51"/>
      <c r="AG11" s="51"/>
      <c r="AH11" s="51"/>
      <c r="AI11" s="51"/>
      <c r="AJ11" s="51">
        <v>6666.7</v>
      </c>
      <c r="AK11" s="51"/>
      <c r="AL11" s="51"/>
      <c r="AM11" s="51">
        <v>625</v>
      </c>
      <c r="AN11" s="51"/>
      <c r="AO11" s="51"/>
      <c r="AP11" s="51"/>
      <c r="AQ11" s="51"/>
      <c r="AR11" s="51"/>
      <c r="AS11" s="51"/>
      <c r="AT11" s="51">
        <v>563</v>
      </c>
      <c r="AU11" s="51"/>
      <c r="AV11" s="51">
        <v>968.7</v>
      </c>
      <c r="AW11" s="51">
        <v>958.7</v>
      </c>
      <c r="AX11" s="51"/>
      <c r="AY11" s="51"/>
      <c r="AZ11" s="51">
        <v>42</v>
      </c>
      <c r="BA11" s="51"/>
      <c r="BB11" s="51">
        <v>34.1</v>
      </c>
      <c r="BC11" s="51"/>
      <c r="BD11" s="74">
        <v>8.1</v>
      </c>
      <c r="BE11" s="74">
        <v>3.4</v>
      </c>
    </row>
    <row r="12" spans="1:57" s="106" customFormat="1">
      <c r="A12" s="104"/>
      <c r="B12" s="50"/>
      <c r="C12" s="76"/>
      <c r="D12" s="76"/>
      <c r="E12" s="76"/>
      <c r="F12" s="76"/>
      <c r="G12" s="76"/>
      <c r="H12" s="76"/>
      <c r="I12" s="76"/>
      <c r="J12" s="77"/>
      <c r="K12" s="77"/>
      <c r="L12" s="76"/>
      <c r="M12" s="49"/>
      <c r="N12" s="49"/>
      <c r="O12" s="49"/>
      <c r="P12" s="83"/>
      <c r="Q12" s="88" t="s">
        <v>46</v>
      </c>
      <c r="R12" s="89"/>
      <c r="S12" s="49"/>
      <c r="T12" s="88"/>
      <c r="U12" s="49"/>
      <c r="V12" s="83"/>
      <c r="W12" s="53"/>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74"/>
      <c r="BE12" s="74"/>
    </row>
    <row r="13" spans="1:57" s="31" customFormat="1">
      <c r="A13" s="104"/>
      <c r="B13" s="50" t="s">
        <v>608</v>
      </c>
      <c r="C13" s="76">
        <v>3.5</v>
      </c>
      <c r="D13" s="76" t="s">
        <v>47</v>
      </c>
      <c r="E13" s="76">
        <v>20</v>
      </c>
      <c r="F13" s="76">
        <v>6</v>
      </c>
      <c r="G13" s="76">
        <v>2</v>
      </c>
      <c r="H13" s="76">
        <v>426</v>
      </c>
      <c r="I13" s="76">
        <v>54</v>
      </c>
      <c r="J13" s="77">
        <v>24</v>
      </c>
      <c r="K13" s="77">
        <v>8.3000000000000007</v>
      </c>
      <c r="L13" s="76">
        <v>10.199999999999999</v>
      </c>
      <c r="M13" s="76">
        <v>87</v>
      </c>
      <c r="N13" s="76"/>
      <c r="O13" s="83">
        <v>48.7</v>
      </c>
      <c r="P13" s="83">
        <f>IF(C13=0,$P$8*O13,$P$9*O13)</f>
        <v>73.050000000000011</v>
      </c>
      <c r="Q13" s="88">
        <f>IF(D13="Max",O13/21000*110*$R$98,O13/19030*71*$R$98)</f>
        <v>0.33162380952380954</v>
      </c>
      <c r="R13" s="89">
        <f>IF(C13=0,$R$8*Q13,$R$9*Q13)</f>
        <v>0.49743571428571431</v>
      </c>
      <c r="S13" s="88">
        <v>0.44</v>
      </c>
      <c r="T13" s="88">
        <f>IF(C13=0,$T$8*S13,$T$9*S13)</f>
        <v>0.66</v>
      </c>
      <c r="U13" s="83">
        <v>32.4</v>
      </c>
      <c r="V13" s="83">
        <f>IF(C13=0,$V$8*U13,$V$9*U13)</f>
        <v>48.599999999999994</v>
      </c>
      <c r="W13" s="78"/>
      <c r="X13" s="77">
        <v>45</v>
      </c>
      <c r="Y13" s="77">
        <v>90</v>
      </c>
      <c r="Z13" s="77" t="s">
        <v>606</v>
      </c>
      <c r="AA13" s="77">
        <v>15034</v>
      </c>
      <c r="AB13" s="77">
        <v>15215</v>
      </c>
      <c r="AC13" s="77">
        <v>6867</v>
      </c>
      <c r="AD13" s="77"/>
      <c r="AE13" s="77">
        <v>8348</v>
      </c>
      <c r="AF13" s="77"/>
      <c r="AG13" s="77"/>
      <c r="AH13" s="77"/>
      <c r="AI13" s="77"/>
      <c r="AJ13" s="77">
        <v>6666.7</v>
      </c>
      <c r="AK13" s="77"/>
      <c r="AL13" s="77"/>
      <c r="AM13" s="77">
        <v>1805.6</v>
      </c>
      <c r="AN13" s="77"/>
      <c r="AO13" s="77"/>
      <c r="AP13" s="77"/>
      <c r="AQ13" s="77"/>
      <c r="AR13" s="77"/>
      <c r="AS13" s="77"/>
      <c r="AT13" s="77">
        <v>1625</v>
      </c>
      <c r="AU13" s="77"/>
      <c r="AV13" s="77">
        <v>833.8</v>
      </c>
      <c r="AW13" s="77">
        <v>823.9</v>
      </c>
      <c r="AX13" s="77"/>
      <c r="AY13" s="77"/>
      <c r="AZ13" s="77">
        <v>83.4</v>
      </c>
      <c r="BA13" s="77"/>
      <c r="BB13" s="77">
        <v>59.6</v>
      </c>
      <c r="BC13" s="77"/>
      <c r="BD13" s="79">
        <v>8.3000000000000007</v>
      </c>
      <c r="BE13" s="77">
        <v>9.6999999999999993</v>
      </c>
    </row>
    <row r="14" spans="1:57" s="31" customFormat="1">
      <c r="A14" s="22"/>
      <c r="B14" s="50" t="s">
        <v>608</v>
      </c>
      <c r="C14" s="76">
        <v>3.5</v>
      </c>
      <c r="D14" s="76" t="s">
        <v>47</v>
      </c>
      <c r="E14" s="76">
        <v>8</v>
      </c>
      <c r="F14" s="76">
        <v>6</v>
      </c>
      <c r="G14" s="76">
        <v>2</v>
      </c>
      <c r="H14" s="76">
        <v>426</v>
      </c>
      <c r="I14" s="76">
        <v>54</v>
      </c>
      <c r="J14" s="77">
        <v>24</v>
      </c>
      <c r="K14" s="77">
        <v>8.3000000000000007</v>
      </c>
      <c r="L14" s="76">
        <v>10.199999999999999</v>
      </c>
      <c r="M14" s="76">
        <v>87.6</v>
      </c>
      <c r="N14" s="76"/>
      <c r="O14" s="83">
        <v>49.1</v>
      </c>
      <c r="P14" s="83">
        <f>IF(C14=0,$P$8*O14,$P$9*O14)</f>
        <v>73.650000000000006</v>
      </c>
      <c r="Q14" s="88">
        <f>IF(D14="Max",O14/21000*110*$R$98,O14/19030*71*$R$98)</f>
        <v>0.33434761904761906</v>
      </c>
      <c r="R14" s="89">
        <f>IF(C14=0,$R$8*Q14,$R$9*Q14)</f>
        <v>0.50152142857142856</v>
      </c>
      <c r="S14" s="88">
        <v>0.35</v>
      </c>
      <c r="T14" s="88">
        <f>IF(C14=0,$T$8*S14,$T$9*S14)</f>
        <v>0.52499999999999991</v>
      </c>
      <c r="U14" s="83">
        <v>32.799999999999997</v>
      </c>
      <c r="V14" s="83">
        <f>IF(C14=0,$V$8*U14,$V$9*U14)</f>
        <v>49.199999999999996</v>
      </c>
      <c r="W14" s="78"/>
      <c r="X14" s="77">
        <v>45</v>
      </c>
      <c r="Y14" s="77">
        <v>90</v>
      </c>
      <c r="Z14" s="77" t="s">
        <v>606</v>
      </c>
      <c r="AA14" s="77">
        <v>14881</v>
      </c>
      <c r="AB14" s="77">
        <v>14937</v>
      </c>
      <c r="AC14" s="77">
        <v>6741.6</v>
      </c>
      <c r="AD14" s="77"/>
      <c r="AE14" s="77">
        <v>8195.9</v>
      </c>
      <c r="AF14" s="77"/>
      <c r="AG14" s="77"/>
      <c r="AH14" s="77"/>
      <c r="AI14" s="77"/>
      <c r="AJ14" s="77">
        <v>6666.7</v>
      </c>
      <c r="AK14" s="77"/>
      <c r="AL14" s="77"/>
      <c r="AM14" s="77">
        <v>555.6</v>
      </c>
      <c r="AN14" s="77"/>
      <c r="AO14" s="77"/>
      <c r="AP14" s="77"/>
      <c r="AQ14" s="77"/>
      <c r="AR14" s="77"/>
      <c r="AS14" s="77"/>
      <c r="AT14" s="77">
        <v>500</v>
      </c>
      <c r="AU14" s="77"/>
      <c r="AV14" s="77">
        <v>940.2</v>
      </c>
      <c r="AW14" s="77">
        <v>930.3</v>
      </c>
      <c r="AX14" s="77"/>
      <c r="AY14" s="77"/>
      <c r="AZ14" s="77">
        <v>37.5</v>
      </c>
      <c r="BA14" s="77"/>
      <c r="BB14" s="77">
        <v>30.6</v>
      </c>
      <c r="BC14" s="77"/>
      <c r="BD14" s="79">
        <v>8.1</v>
      </c>
      <c r="BE14" s="77">
        <v>3</v>
      </c>
    </row>
    <row r="15" spans="1:57" s="106" customFormat="1">
      <c r="A15" s="104"/>
      <c r="B15" s="50"/>
      <c r="C15" s="76"/>
      <c r="D15" s="76"/>
      <c r="E15" s="76"/>
      <c r="F15" s="76"/>
      <c r="G15" s="76"/>
      <c r="H15" s="76"/>
      <c r="I15" s="76"/>
      <c r="J15" s="77"/>
      <c r="K15" s="77"/>
      <c r="L15" s="76"/>
      <c r="M15" s="76"/>
      <c r="N15" s="76"/>
      <c r="O15" s="83"/>
      <c r="P15" s="83"/>
      <c r="Q15" s="88"/>
      <c r="R15" s="89"/>
      <c r="S15" s="88"/>
      <c r="T15" s="88"/>
      <c r="U15" s="83"/>
      <c r="V15" s="83"/>
      <c r="W15" s="78"/>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9"/>
      <c r="BE15" s="77"/>
    </row>
    <row r="16" spans="1:57" s="106" customFormat="1">
      <c r="A16" s="104"/>
      <c r="B16" s="50" t="s">
        <v>608</v>
      </c>
      <c r="C16" s="76">
        <v>5</v>
      </c>
      <c r="D16" s="76" t="s">
        <v>65</v>
      </c>
      <c r="E16" s="76">
        <v>20</v>
      </c>
      <c r="F16" s="76">
        <v>6</v>
      </c>
      <c r="G16" s="76">
        <v>2</v>
      </c>
      <c r="H16" s="76">
        <v>426</v>
      </c>
      <c r="I16" s="76">
        <v>54</v>
      </c>
      <c r="J16" s="77">
        <v>24</v>
      </c>
      <c r="K16" s="77">
        <v>8</v>
      </c>
      <c r="L16" s="76">
        <v>10.5</v>
      </c>
      <c r="M16" s="76">
        <v>79.599999999999994</v>
      </c>
      <c r="N16" s="76"/>
      <c r="O16" s="83">
        <v>44.9</v>
      </c>
      <c r="P16" s="83">
        <f t="shared" ref="P16:P22" si="0">IF(C16=0,$P$8*O16,$P$9*O16)</f>
        <v>67.349999999999994</v>
      </c>
      <c r="Q16" s="88">
        <f t="shared" ref="Q16:Q22" si="1">IF(D16="Max",O16/21000*110*$R$98,O16/19030*71*$R$98)</f>
        <v>0.21777561744613766</v>
      </c>
      <c r="R16" s="88">
        <f t="shared" ref="R16:R22" si="2">IF(C16=0,$R$8*Q16,$R$9*Q16)</f>
        <v>0.32666342616920652</v>
      </c>
      <c r="S16" s="88">
        <v>0.46</v>
      </c>
      <c r="T16" s="89">
        <f t="shared" ref="T16:T22" si="3">IF(C16=0,$T$8*S16,$T$9*S16)</f>
        <v>0.69000000000000006</v>
      </c>
      <c r="U16" s="83">
        <v>30</v>
      </c>
      <c r="V16" s="83">
        <f t="shared" ref="V16:V22" si="4">IF(C16=0,$V$8*U16,$V$9*U16)</f>
        <v>45</v>
      </c>
      <c r="W16" s="78"/>
      <c r="X16" s="77">
        <v>45</v>
      </c>
      <c r="Y16" s="77">
        <v>90</v>
      </c>
      <c r="Z16" s="77" t="s">
        <v>606</v>
      </c>
      <c r="AA16" s="77">
        <v>15043</v>
      </c>
      <c r="AB16" s="77">
        <v>15230</v>
      </c>
      <c r="AC16" s="77">
        <v>6873.9</v>
      </c>
      <c r="AD16" s="77"/>
      <c r="AE16" s="77">
        <v>8356.7999999999993</v>
      </c>
      <c r="AF16" s="77"/>
      <c r="AG16" s="77"/>
      <c r="AH16" s="77"/>
      <c r="AI16" s="77"/>
      <c r="AJ16" s="77">
        <v>6666.7</v>
      </c>
      <c r="AK16" s="77"/>
      <c r="AL16" s="77"/>
      <c r="AM16" s="77">
        <v>1875</v>
      </c>
      <c r="AN16" s="77"/>
      <c r="AO16" s="77"/>
      <c r="AP16" s="77"/>
      <c r="AQ16" s="77"/>
      <c r="AR16" s="77"/>
      <c r="AS16" s="77"/>
      <c r="AT16" s="77">
        <v>1687.5</v>
      </c>
      <c r="AU16" s="77"/>
      <c r="AV16" s="77">
        <v>774.4</v>
      </c>
      <c r="AW16" s="77">
        <v>764.4</v>
      </c>
      <c r="AX16" s="77"/>
      <c r="AY16" s="77"/>
      <c r="AZ16" s="77">
        <v>87</v>
      </c>
      <c r="BA16" s="77"/>
      <c r="BB16" s="77">
        <v>61.1</v>
      </c>
      <c r="BC16" s="77"/>
      <c r="BD16" s="79">
        <v>8.3000000000000007</v>
      </c>
      <c r="BE16" s="77">
        <v>10.1</v>
      </c>
    </row>
    <row r="17" spans="1:57" s="106" customFormat="1">
      <c r="A17" s="104"/>
      <c r="B17" s="50" t="s">
        <v>608</v>
      </c>
      <c r="C17" s="76">
        <v>5</v>
      </c>
      <c r="D17" s="76" t="s">
        <v>65</v>
      </c>
      <c r="E17" s="76">
        <v>18</v>
      </c>
      <c r="F17" s="76">
        <v>6</v>
      </c>
      <c r="G17" s="76">
        <v>2</v>
      </c>
      <c r="H17" s="76">
        <v>426</v>
      </c>
      <c r="I17" s="76">
        <v>54</v>
      </c>
      <c r="J17" s="77">
        <v>24</v>
      </c>
      <c r="K17" s="77">
        <v>8</v>
      </c>
      <c r="L17" s="76">
        <v>10.5</v>
      </c>
      <c r="M17" s="76">
        <v>84</v>
      </c>
      <c r="N17" s="76"/>
      <c r="O17" s="83">
        <v>47.4</v>
      </c>
      <c r="P17" s="83">
        <f t="shared" si="0"/>
        <v>71.099999999999994</v>
      </c>
      <c r="Q17" s="88">
        <f t="shared" si="1"/>
        <v>0.22990120861797164</v>
      </c>
      <c r="R17" s="88">
        <f t="shared" si="2"/>
        <v>0.34485181292695744</v>
      </c>
      <c r="S17" s="88">
        <v>0.46</v>
      </c>
      <c r="T17" s="89">
        <f t="shared" si="3"/>
        <v>0.69000000000000006</v>
      </c>
      <c r="U17" s="83">
        <v>31.6</v>
      </c>
      <c r="V17" s="83">
        <f t="shared" si="4"/>
        <v>47.400000000000006</v>
      </c>
      <c r="W17" s="78"/>
      <c r="X17" s="77">
        <v>45</v>
      </c>
      <c r="Y17" s="77">
        <v>90</v>
      </c>
      <c r="Z17" s="77" t="s">
        <v>606</v>
      </c>
      <c r="AA17" s="77">
        <v>15000</v>
      </c>
      <c r="AB17" s="77">
        <v>15135</v>
      </c>
      <c r="AC17" s="77">
        <v>6839.1</v>
      </c>
      <c r="AD17" s="77"/>
      <c r="AE17" s="77">
        <v>8314.4</v>
      </c>
      <c r="AF17" s="77"/>
      <c r="AG17" s="77"/>
      <c r="AH17" s="77"/>
      <c r="AI17" s="77"/>
      <c r="AJ17" s="77">
        <v>6666.7</v>
      </c>
      <c r="AK17" s="77"/>
      <c r="AL17" s="77"/>
      <c r="AM17" s="77">
        <v>1527.8</v>
      </c>
      <c r="AN17" s="77"/>
      <c r="AO17" s="77"/>
      <c r="AP17" s="77"/>
      <c r="AQ17" s="77"/>
      <c r="AR17" s="77"/>
      <c r="AS17" s="77"/>
      <c r="AT17" s="77">
        <v>1375</v>
      </c>
      <c r="AU17" s="77"/>
      <c r="AV17" s="77">
        <v>785.3</v>
      </c>
      <c r="AW17" s="77">
        <v>775.3</v>
      </c>
      <c r="AX17" s="77"/>
      <c r="AY17" s="77"/>
      <c r="AZ17" s="77">
        <v>75.099999999999994</v>
      </c>
      <c r="BA17" s="77"/>
      <c r="BB17" s="77">
        <v>55</v>
      </c>
      <c r="BC17" s="77"/>
      <c r="BD17" s="79">
        <v>8.1999999999999993</v>
      </c>
      <c r="BE17" s="77">
        <v>8.1999999999999993</v>
      </c>
    </row>
    <row r="18" spans="1:57" s="106" customFormat="1">
      <c r="A18" s="104"/>
      <c r="B18" s="50" t="s">
        <v>608</v>
      </c>
      <c r="C18" s="76">
        <v>5</v>
      </c>
      <c r="D18" s="76" t="s">
        <v>65</v>
      </c>
      <c r="E18" s="76">
        <v>15</v>
      </c>
      <c r="F18" s="76">
        <v>6</v>
      </c>
      <c r="G18" s="76">
        <v>2</v>
      </c>
      <c r="H18" s="76">
        <v>426</v>
      </c>
      <c r="I18" s="76">
        <v>54</v>
      </c>
      <c r="J18" s="77">
        <v>24</v>
      </c>
      <c r="K18" s="77">
        <v>8</v>
      </c>
      <c r="L18" s="76">
        <v>10.5</v>
      </c>
      <c r="M18" s="76">
        <v>89</v>
      </c>
      <c r="N18" s="76"/>
      <c r="O18" s="83">
        <v>50.2</v>
      </c>
      <c r="P18" s="83">
        <f t="shared" si="0"/>
        <v>75.300000000000011</v>
      </c>
      <c r="Q18" s="88">
        <f t="shared" si="1"/>
        <v>0.24348187073042568</v>
      </c>
      <c r="R18" s="88">
        <f t="shared" si="2"/>
        <v>0.36522280609563851</v>
      </c>
      <c r="S18" s="88">
        <v>0.46</v>
      </c>
      <c r="T18" s="89">
        <f t="shared" si="3"/>
        <v>0.69000000000000006</v>
      </c>
      <c r="U18" s="83">
        <v>33.5</v>
      </c>
      <c r="V18" s="83">
        <f t="shared" si="4"/>
        <v>50.25</v>
      </c>
      <c r="W18" s="78"/>
      <c r="X18" s="77">
        <v>45</v>
      </c>
      <c r="Y18" s="77">
        <v>90</v>
      </c>
      <c r="Z18" s="77" t="s">
        <v>606</v>
      </c>
      <c r="AA18" s="77">
        <v>14941</v>
      </c>
      <c r="AB18" s="77">
        <v>15045</v>
      </c>
      <c r="AC18" s="77">
        <v>6790.3</v>
      </c>
      <c r="AD18" s="77"/>
      <c r="AE18" s="77">
        <v>8255.2000000000007</v>
      </c>
      <c r="AF18" s="77"/>
      <c r="AG18" s="77"/>
      <c r="AH18" s="77"/>
      <c r="AI18" s="77"/>
      <c r="AJ18" s="77">
        <v>6666.7</v>
      </c>
      <c r="AK18" s="77"/>
      <c r="AL18" s="77"/>
      <c r="AM18" s="77">
        <v>1041.7</v>
      </c>
      <c r="AN18" s="77"/>
      <c r="AO18" s="77"/>
      <c r="AP18" s="77"/>
      <c r="AQ18" s="77"/>
      <c r="AR18" s="77"/>
      <c r="AS18" s="77"/>
      <c r="AT18" s="77">
        <v>937.5</v>
      </c>
      <c r="AU18" s="77"/>
      <c r="AV18" s="77">
        <v>806.5</v>
      </c>
      <c r="AW18" s="77">
        <v>796.6</v>
      </c>
      <c r="AX18" s="77"/>
      <c r="AY18" s="77"/>
      <c r="AZ18" s="77">
        <v>57</v>
      </c>
      <c r="BA18" s="77"/>
      <c r="BB18" s="77">
        <v>44.1</v>
      </c>
      <c r="BC18" s="77"/>
      <c r="BD18" s="79">
        <v>8.1999999999999993</v>
      </c>
      <c r="BE18" s="77">
        <v>5.6</v>
      </c>
    </row>
    <row r="19" spans="1:57" s="106" customFormat="1">
      <c r="A19" s="104"/>
      <c r="B19" s="50" t="s">
        <v>608</v>
      </c>
      <c r="C19" s="76">
        <v>5</v>
      </c>
      <c r="D19" s="76" t="s">
        <v>65</v>
      </c>
      <c r="E19" s="76">
        <v>13</v>
      </c>
      <c r="F19" s="76">
        <v>6</v>
      </c>
      <c r="G19" s="76">
        <v>2</v>
      </c>
      <c r="H19" s="76">
        <v>426</v>
      </c>
      <c r="I19" s="76">
        <v>54</v>
      </c>
      <c r="J19" s="77">
        <v>24</v>
      </c>
      <c r="K19" s="77">
        <v>8</v>
      </c>
      <c r="L19" s="76">
        <v>10.5</v>
      </c>
      <c r="M19" s="76">
        <v>91.7</v>
      </c>
      <c r="N19" s="76"/>
      <c r="O19" s="83">
        <v>51.7</v>
      </c>
      <c r="P19" s="83">
        <f t="shared" si="0"/>
        <v>77.550000000000011</v>
      </c>
      <c r="Q19" s="88">
        <f t="shared" si="1"/>
        <v>0.25075722543352602</v>
      </c>
      <c r="R19" s="88">
        <f t="shared" si="2"/>
        <v>0.37613583815028906</v>
      </c>
      <c r="S19" s="88">
        <v>0.46</v>
      </c>
      <c r="T19" s="89">
        <f t="shared" si="3"/>
        <v>0.69000000000000006</v>
      </c>
      <c r="U19" s="83">
        <v>34.5</v>
      </c>
      <c r="V19" s="83">
        <f t="shared" si="4"/>
        <v>51.75</v>
      </c>
      <c r="W19" s="78"/>
      <c r="X19" s="77">
        <v>45</v>
      </c>
      <c r="Y19" s="77">
        <v>90</v>
      </c>
      <c r="Z19" s="77" t="s">
        <v>606</v>
      </c>
      <c r="AA19" s="77">
        <v>14907</v>
      </c>
      <c r="AB19" s="77">
        <v>14983</v>
      </c>
      <c r="AC19" s="77">
        <v>6762.5</v>
      </c>
      <c r="AD19" s="77"/>
      <c r="AE19" s="77">
        <v>8221.2999999999993</v>
      </c>
      <c r="AF19" s="77"/>
      <c r="AG19" s="77"/>
      <c r="AH19" s="77"/>
      <c r="AI19" s="77"/>
      <c r="AJ19" s="77">
        <v>6666.7</v>
      </c>
      <c r="AK19" s="77"/>
      <c r="AL19" s="77"/>
      <c r="AM19" s="77">
        <v>763.9</v>
      </c>
      <c r="AN19" s="77"/>
      <c r="AO19" s="77"/>
      <c r="AP19" s="77"/>
      <c r="AQ19" s="77"/>
      <c r="AR19" s="77"/>
      <c r="AS19" s="77"/>
      <c r="AT19" s="77">
        <v>687.5</v>
      </c>
      <c r="AU19" s="77"/>
      <c r="AV19" s="77">
        <v>824.8</v>
      </c>
      <c r="AW19" s="77">
        <v>814.8</v>
      </c>
      <c r="AX19" s="77"/>
      <c r="AY19" s="77"/>
      <c r="AZ19" s="77">
        <v>45.3</v>
      </c>
      <c r="BA19" s="77"/>
      <c r="BB19" s="77">
        <v>36.1</v>
      </c>
      <c r="BC19" s="77"/>
      <c r="BD19" s="79">
        <v>8.1</v>
      </c>
      <c r="BE19" s="77">
        <v>4.0999999999999996</v>
      </c>
    </row>
    <row r="20" spans="1:57" s="106" customFormat="1">
      <c r="A20" s="104"/>
      <c r="B20" s="50" t="s">
        <v>608</v>
      </c>
      <c r="C20" s="76">
        <v>5</v>
      </c>
      <c r="D20" s="76" t="s">
        <v>65</v>
      </c>
      <c r="E20" s="76">
        <v>12</v>
      </c>
      <c r="F20" s="76">
        <v>6</v>
      </c>
      <c r="G20" s="76">
        <v>2</v>
      </c>
      <c r="H20" s="76">
        <v>426</v>
      </c>
      <c r="I20" s="76">
        <v>54</v>
      </c>
      <c r="J20" s="77">
        <v>24</v>
      </c>
      <c r="K20" s="77">
        <v>8</v>
      </c>
      <c r="L20" s="76">
        <v>10.5</v>
      </c>
      <c r="M20" s="76">
        <v>62</v>
      </c>
      <c r="N20" s="76"/>
      <c r="O20" s="83">
        <v>34.9</v>
      </c>
      <c r="P20" s="83">
        <f t="shared" si="0"/>
        <v>52.349999999999994</v>
      </c>
      <c r="Q20" s="88">
        <f t="shared" si="1"/>
        <v>0.1692732527588019</v>
      </c>
      <c r="R20" s="88">
        <f t="shared" si="2"/>
        <v>0.25390987913820284</v>
      </c>
      <c r="S20" s="88">
        <v>0.32</v>
      </c>
      <c r="T20" s="91">
        <f t="shared" si="3"/>
        <v>0.48</v>
      </c>
      <c r="U20" s="83">
        <v>23.3</v>
      </c>
      <c r="V20" s="85">
        <f t="shared" si="4"/>
        <v>34.950000000000003</v>
      </c>
      <c r="W20" s="78"/>
      <c r="X20" s="77">
        <v>45</v>
      </c>
      <c r="Y20" s="77">
        <v>90</v>
      </c>
      <c r="Z20" s="77" t="s">
        <v>606</v>
      </c>
      <c r="AA20" s="77">
        <v>15030</v>
      </c>
      <c r="AB20" s="77">
        <v>15207</v>
      </c>
      <c r="AC20" s="77">
        <v>6863.5</v>
      </c>
      <c r="AD20" s="77"/>
      <c r="AE20" s="77">
        <v>8344.1</v>
      </c>
      <c r="AF20" s="77"/>
      <c r="AG20" s="77"/>
      <c r="AH20" s="77"/>
      <c r="AI20" s="77"/>
      <c r="AJ20" s="77">
        <v>6666.7</v>
      </c>
      <c r="AK20" s="77"/>
      <c r="AL20" s="77"/>
      <c r="AM20" s="77">
        <v>1770.8</v>
      </c>
      <c r="AN20" s="77"/>
      <c r="AO20" s="77"/>
      <c r="AP20" s="77"/>
      <c r="AQ20" s="77"/>
      <c r="AR20" s="77"/>
      <c r="AS20" s="77"/>
      <c r="AT20" s="77">
        <v>1593.8</v>
      </c>
      <c r="AU20" s="77"/>
      <c r="AV20" s="77">
        <v>835.7</v>
      </c>
      <c r="AW20" s="77">
        <v>825.5</v>
      </c>
      <c r="AX20" s="77"/>
      <c r="AY20" s="77"/>
      <c r="AZ20" s="77">
        <v>96.6</v>
      </c>
      <c r="BA20" s="77"/>
      <c r="BB20" s="77">
        <v>70.900000000000006</v>
      </c>
      <c r="BC20" s="77"/>
      <c r="BD20" s="79">
        <v>8.3000000000000007</v>
      </c>
      <c r="BE20" s="77">
        <v>9.6</v>
      </c>
    </row>
    <row r="21" spans="1:57" s="106" customFormat="1">
      <c r="A21" s="104"/>
      <c r="B21" s="50" t="s">
        <v>608</v>
      </c>
      <c r="C21" s="76">
        <v>5</v>
      </c>
      <c r="D21" s="76" t="s">
        <v>65</v>
      </c>
      <c r="E21" s="76">
        <v>10</v>
      </c>
      <c r="F21" s="76">
        <v>6</v>
      </c>
      <c r="G21" s="76">
        <v>2</v>
      </c>
      <c r="H21" s="76">
        <v>426</v>
      </c>
      <c r="I21" s="76">
        <v>54</v>
      </c>
      <c r="J21" s="77">
        <v>24</v>
      </c>
      <c r="K21" s="77">
        <v>8</v>
      </c>
      <c r="L21" s="76">
        <v>10.5</v>
      </c>
      <c r="M21" s="76">
        <v>61.7</v>
      </c>
      <c r="N21" s="76"/>
      <c r="O21" s="83">
        <v>34.799999999999997</v>
      </c>
      <c r="P21" s="83">
        <f t="shared" si="0"/>
        <v>52.199999999999996</v>
      </c>
      <c r="Q21" s="88">
        <f t="shared" si="1"/>
        <v>0.16878822911192853</v>
      </c>
      <c r="R21" s="88">
        <f t="shared" si="2"/>
        <v>0.25318234366789283</v>
      </c>
      <c r="S21" s="88">
        <v>0.31</v>
      </c>
      <c r="T21" s="91">
        <f t="shared" si="3"/>
        <v>0.46499999999999997</v>
      </c>
      <c r="U21" s="83">
        <v>23.2</v>
      </c>
      <c r="V21" s="85">
        <f t="shared" si="4"/>
        <v>34.799999999999997</v>
      </c>
      <c r="W21" s="78"/>
      <c r="X21" s="77">
        <v>45</v>
      </c>
      <c r="Y21" s="77">
        <v>90</v>
      </c>
      <c r="Z21" s="77" t="s">
        <v>606</v>
      </c>
      <c r="AA21" s="77">
        <v>15005</v>
      </c>
      <c r="AB21" s="77">
        <v>15161</v>
      </c>
      <c r="AC21" s="77">
        <v>6842.6</v>
      </c>
      <c r="AD21" s="77"/>
      <c r="AE21" s="77">
        <v>8318.7000000000007</v>
      </c>
      <c r="AF21" s="77"/>
      <c r="AG21" s="77"/>
      <c r="AH21" s="77"/>
      <c r="AI21" s="77"/>
      <c r="AJ21" s="77">
        <v>6666.7</v>
      </c>
      <c r="AK21" s="77"/>
      <c r="AL21" s="77"/>
      <c r="AM21" s="77">
        <v>1562.5</v>
      </c>
      <c r="AN21" s="77"/>
      <c r="AO21" s="77"/>
      <c r="AP21" s="77"/>
      <c r="AQ21" s="77"/>
      <c r="AR21" s="77"/>
      <c r="AS21" s="77"/>
      <c r="AT21" s="77">
        <v>1406.3</v>
      </c>
      <c r="AU21" s="77"/>
      <c r="AV21" s="77">
        <v>860.7</v>
      </c>
      <c r="AW21" s="77">
        <v>850.5</v>
      </c>
      <c r="AX21" s="77"/>
      <c r="AY21" s="77"/>
      <c r="AZ21" s="77">
        <v>89.8</v>
      </c>
      <c r="BA21" s="77"/>
      <c r="BB21" s="77">
        <v>67.5</v>
      </c>
      <c r="BC21" s="77"/>
      <c r="BD21" s="79">
        <v>8.1999999999999993</v>
      </c>
      <c r="BE21" s="77">
        <v>8.4</v>
      </c>
    </row>
    <row r="22" spans="1:57" s="106" customFormat="1">
      <c r="A22" s="104"/>
      <c r="B22" s="50" t="s">
        <v>608</v>
      </c>
      <c r="C22" s="76">
        <v>5</v>
      </c>
      <c r="D22" s="76" t="s">
        <v>65</v>
      </c>
      <c r="E22" s="76">
        <v>8</v>
      </c>
      <c r="F22" s="76">
        <v>6</v>
      </c>
      <c r="G22" s="76">
        <v>2</v>
      </c>
      <c r="H22" s="76">
        <v>426</v>
      </c>
      <c r="I22" s="76">
        <v>54</v>
      </c>
      <c r="J22" s="77">
        <v>24</v>
      </c>
      <c r="K22" s="77">
        <v>8</v>
      </c>
      <c r="L22" s="76">
        <v>10.5</v>
      </c>
      <c r="M22" s="76">
        <v>61.5</v>
      </c>
      <c r="N22" s="76"/>
      <c r="O22" s="83">
        <v>34.700000000000003</v>
      </c>
      <c r="P22" s="83">
        <f t="shared" si="0"/>
        <v>52.050000000000004</v>
      </c>
      <c r="Q22" s="88">
        <f t="shared" si="1"/>
        <v>0.16830320546505517</v>
      </c>
      <c r="R22" s="88">
        <f t="shared" si="2"/>
        <v>0.25245480819758276</v>
      </c>
      <c r="S22" s="88">
        <v>0.3</v>
      </c>
      <c r="T22" s="91">
        <f t="shared" si="3"/>
        <v>0.44999999999999996</v>
      </c>
      <c r="U22" s="83">
        <v>23.2</v>
      </c>
      <c r="V22" s="121">
        <f t="shared" si="4"/>
        <v>34.799999999999997</v>
      </c>
      <c r="W22" s="78"/>
      <c r="X22" s="77">
        <v>45</v>
      </c>
      <c r="Y22" s="77">
        <v>90</v>
      </c>
      <c r="Z22" s="77" t="s">
        <v>606</v>
      </c>
      <c r="AA22" s="77">
        <v>14975</v>
      </c>
      <c r="AB22" s="77">
        <v>15107</v>
      </c>
      <c r="AC22" s="77">
        <v>6818.2</v>
      </c>
      <c r="AD22" s="77"/>
      <c r="AE22" s="77">
        <v>8289</v>
      </c>
      <c r="AF22" s="77"/>
      <c r="AG22" s="77"/>
      <c r="AH22" s="77"/>
      <c r="AI22" s="77"/>
      <c r="AJ22" s="77">
        <v>6666.7</v>
      </c>
      <c r="AK22" s="77"/>
      <c r="AL22" s="77"/>
      <c r="AM22" s="77">
        <v>1319.4</v>
      </c>
      <c r="AN22" s="77"/>
      <c r="AO22" s="77"/>
      <c r="AP22" s="77"/>
      <c r="AQ22" s="77"/>
      <c r="AR22" s="77"/>
      <c r="AS22" s="77"/>
      <c r="AT22" s="77">
        <v>1187.5</v>
      </c>
      <c r="AU22" s="77"/>
      <c r="AV22" s="77">
        <v>891</v>
      </c>
      <c r="AW22" s="77">
        <v>880.7</v>
      </c>
      <c r="AX22" s="77"/>
      <c r="AY22" s="77"/>
      <c r="AZ22" s="77">
        <v>80.2</v>
      </c>
      <c r="BA22" s="77"/>
      <c r="BB22" s="77">
        <v>61.9</v>
      </c>
      <c r="BC22" s="77"/>
      <c r="BD22" s="79">
        <v>8.1999999999999993</v>
      </c>
      <c r="BE22" s="77">
        <v>7.1</v>
      </c>
    </row>
    <row r="23" spans="1:57" s="106" customFormat="1">
      <c r="A23" s="104"/>
      <c r="B23" s="50"/>
      <c r="C23" s="76"/>
      <c r="D23" s="76"/>
      <c r="E23" s="76"/>
      <c r="F23" s="76"/>
      <c r="G23" s="76"/>
      <c r="H23" s="76"/>
      <c r="I23" s="76"/>
      <c r="J23" s="77"/>
      <c r="K23" s="77"/>
      <c r="L23" s="76"/>
      <c r="M23" s="76"/>
      <c r="N23" s="76"/>
      <c r="O23" s="83"/>
      <c r="P23" s="83"/>
      <c r="Q23" s="88"/>
      <c r="R23" s="88"/>
      <c r="S23" s="88"/>
      <c r="T23" s="89"/>
      <c r="U23" s="83"/>
      <c r="V23" s="83"/>
      <c r="W23" s="78"/>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9"/>
      <c r="BE23" s="77"/>
    </row>
    <row r="24" spans="1:57" s="31" customFormat="1">
      <c r="A24" s="22"/>
      <c r="B24" s="32" t="s">
        <v>608</v>
      </c>
      <c r="C24" s="109">
        <v>3.5</v>
      </c>
      <c r="D24" s="109" t="s">
        <v>65</v>
      </c>
      <c r="E24" s="109">
        <v>20</v>
      </c>
      <c r="F24" s="109">
        <v>6</v>
      </c>
      <c r="G24" s="109">
        <v>2</v>
      </c>
      <c r="H24" s="109">
        <v>426</v>
      </c>
      <c r="I24" s="109">
        <v>54</v>
      </c>
      <c r="J24" s="110">
        <v>24</v>
      </c>
      <c r="K24" s="110">
        <v>8</v>
      </c>
      <c r="L24" s="109">
        <v>10.4</v>
      </c>
      <c r="M24" s="109">
        <v>51.4</v>
      </c>
      <c r="N24" s="109"/>
      <c r="O24" s="111">
        <v>29</v>
      </c>
      <c r="P24" s="111">
        <f t="shared" ref="P24:P34" si="5">IF(C24=0,$P$8*O24,$P$9*O24)</f>
        <v>43.5</v>
      </c>
      <c r="Q24" s="112">
        <f t="shared" ref="Q24:Q34" si="6">IF(D24="Max",O24/21000*110*$R$98,O24/19030*71*$R$98)</f>
        <v>0.14065685759327379</v>
      </c>
      <c r="R24" s="113">
        <f t="shared" ref="R24:R34" si="7">IF(C24=0,$R$8*Q24,$R$9*Q24)</f>
        <v>0.21098528638991068</v>
      </c>
      <c r="S24" s="113">
        <v>0.33</v>
      </c>
      <c r="T24" s="114">
        <f t="shared" ref="T24:T34" si="8">IF(C24=0,$T$8*S24,$T$9*S24)</f>
        <v>0.495</v>
      </c>
      <c r="U24" s="111">
        <v>19.3</v>
      </c>
      <c r="V24" s="111">
        <f t="shared" ref="V24:V34" si="9">IF(C24=0,$V$8*U24,$V$9*U24)</f>
        <v>28.950000000000003</v>
      </c>
      <c r="W24" s="115"/>
      <c r="X24" s="110">
        <v>45</v>
      </c>
      <c r="Y24" s="110">
        <v>90</v>
      </c>
      <c r="Z24" s="110" t="s">
        <v>606</v>
      </c>
      <c r="AA24" s="110">
        <v>15187</v>
      </c>
      <c r="AB24" s="110">
        <v>15493</v>
      </c>
      <c r="AC24" s="110">
        <v>6992.3</v>
      </c>
      <c r="AD24" s="110"/>
      <c r="AE24" s="110">
        <v>8500.7000000000007</v>
      </c>
      <c r="AF24" s="110"/>
      <c r="AG24" s="110"/>
      <c r="AH24" s="110"/>
      <c r="AI24" s="110"/>
      <c r="AJ24" s="110">
        <v>6666.7</v>
      </c>
      <c r="AK24" s="110"/>
      <c r="AL24" s="110"/>
      <c r="AM24" s="110">
        <v>3055.6</v>
      </c>
      <c r="AN24" s="110"/>
      <c r="AO24" s="110"/>
      <c r="AP24" s="110"/>
      <c r="AQ24" s="110"/>
      <c r="AR24" s="110"/>
      <c r="AS24" s="110"/>
      <c r="AT24" s="110">
        <v>2750</v>
      </c>
      <c r="AU24" s="110"/>
      <c r="AV24" s="110">
        <v>757.6</v>
      </c>
      <c r="AW24" s="110">
        <v>747.4</v>
      </c>
      <c r="AX24" s="110"/>
      <c r="AY24" s="110"/>
      <c r="AZ24" s="110">
        <v>132.9</v>
      </c>
      <c r="BA24" s="110"/>
      <c r="BB24" s="110">
        <v>83.1</v>
      </c>
      <c r="BC24" s="110"/>
      <c r="BD24" s="73">
        <v>8.4</v>
      </c>
      <c r="BE24" s="110">
        <v>16.5</v>
      </c>
    </row>
    <row r="25" spans="1:57" s="106" customFormat="1">
      <c r="A25" s="104"/>
      <c r="B25" s="50" t="s">
        <v>608</v>
      </c>
      <c r="C25" s="76">
        <v>3.5</v>
      </c>
      <c r="D25" s="76" t="s">
        <v>65</v>
      </c>
      <c r="E25" s="76">
        <v>20</v>
      </c>
      <c r="F25" s="76">
        <v>6</v>
      </c>
      <c r="G25" s="76">
        <v>2</v>
      </c>
      <c r="H25" s="76">
        <v>426</v>
      </c>
      <c r="I25" s="76">
        <v>54</v>
      </c>
      <c r="J25" s="77">
        <v>24</v>
      </c>
      <c r="K25" s="77">
        <v>8</v>
      </c>
      <c r="L25" s="76">
        <v>10.5</v>
      </c>
      <c r="M25" s="76">
        <v>80.2</v>
      </c>
      <c r="N25" s="76"/>
      <c r="O25" s="83">
        <v>45.2</v>
      </c>
      <c r="P25" s="83">
        <f t="shared" si="5"/>
        <v>67.800000000000011</v>
      </c>
      <c r="Q25" s="88">
        <f t="shared" si="6"/>
        <v>0.21923068838675777</v>
      </c>
      <c r="R25" s="88">
        <f t="shared" si="7"/>
        <v>0.32884603258013667</v>
      </c>
      <c r="S25" s="88">
        <v>0.46</v>
      </c>
      <c r="T25" s="89">
        <f t="shared" si="8"/>
        <v>0.69000000000000006</v>
      </c>
      <c r="U25" s="83">
        <v>30.1</v>
      </c>
      <c r="V25" s="83">
        <f t="shared" si="9"/>
        <v>45.150000000000006</v>
      </c>
      <c r="W25" s="78"/>
      <c r="X25" s="77">
        <v>45</v>
      </c>
      <c r="Y25" s="77">
        <v>90</v>
      </c>
      <c r="Z25" s="77" t="s">
        <v>606</v>
      </c>
      <c r="AA25" s="77">
        <v>15034</v>
      </c>
      <c r="AB25" s="77">
        <v>15215</v>
      </c>
      <c r="AC25" s="77">
        <v>6866.9</v>
      </c>
      <c r="AD25" s="77"/>
      <c r="AE25" s="77">
        <v>8348.2999999999993</v>
      </c>
      <c r="AF25" s="77"/>
      <c r="AG25" s="77"/>
      <c r="AH25" s="77"/>
      <c r="AI25" s="77"/>
      <c r="AJ25" s="77">
        <v>6666.7</v>
      </c>
      <c r="AK25" s="77"/>
      <c r="AL25" s="77"/>
      <c r="AM25" s="77">
        <v>1805.6</v>
      </c>
      <c r="AN25" s="77"/>
      <c r="AO25" s="77"/>
      <c r="AP25" s="77"/>
      <c r="AQ25" s="77"/>
      <c r="AR25" s="77"/>
      <c r="AS25" s="77"/>
      <c r="AT25" s="77">
        <v>1625</v>
      </c>
      <c r="AU25" s="77"/>
      <c r="AV25" s="77">
        <v>759.3</v>
      </c>
      <c r="AW25" s="77">
        <v>749.5</v>
      </c>
      <c r="AX25" s="77"/>
      <c r="AY25" s="77"/>
      <c r="AZ25" s="77">
        <v>81.8</v>
      </c>
      <c r="BA25" s="77"/>
      <c r="BB25" s="77">
        <v>57.5</v>
      </c>
      <c r="BC25" s="77"/>
      <c r="BD25" s="79">
        <v>8.3000000000000007</v>
      </c>
      <c r="BE25" s="77">
        <v>9.6999999999999993</v>
      </c>
    </row>
    <row r="26" spans="1:57" s="31" customFormat="1">
      <c r="A26" s="22"/>
      <c r="B26" s="32" t="s">
        <v>608</v>
      </c>
      <c r="C26" s="109">
        <v>3.5</v>
      </c>
      <c r="D26" s="109" t="s">
        <v>65</v>
      </c>
      <c r="E26" s="109">
        <v>18</v>
      </c>
      <c r="F26" s="109">
        <v>6</v>
      </c>
      <c r="G26" s="109">
        <v>2</v>
      </c>
      <c r="H26" s="109">
        <v>426</v>
      </c>
      <c r="I26" s="109">
        <v>54</v>
      </c>
      <c r="J26" s="110">
        <v>24</v>
      </c>
      <c r="K26" s="110">
        <v>8</v>
      </c>
      <c r="L26" s="109">
        <v>10.5</v>
      </c>
      <c r="M26" s="109">
        <v>56.7</v>
      </c>
      <c r="N26" s="109"/>
      <c r="O26" s="111">
        <v>32</v>
      </c>
      <c r="P26" s="111">
        <f t="shared" si="5"/>
        <v>48</v>
      </c>
      <c r="Q26" s="112">
        <f t="shared" si="6"/>
        <v>0.15520756699947452</v>
      </c>
      <c r="R26" s="113">
        <f t="shared" si="7"/>
        <v>0.23281135049921178</v>
      </c>
      <c r="S26" s="113">
        <v>0.33</v>
      </c>
      <c r="T26" s="114">
        <f t="shared" si="8"/>
        <v>0.495</v>
      </c>
      <c r="U26" s="111">
        <v>21.3</v>
      </c>
      <c r="V26" s="111">
        <f t="shared" si="9"/>
        <v>31.950000000000003</v>
      </c>
      <c r="W26" s="115"/>
      <c r="X26" s="110">
        <v>45</v>
      </c>
      <c r="Y26" s="110">
        <v>90</v>
      </c>
      <c r="Z26" s="110" t="s">
        <v>606</v>
      </c>
      <c r="AA26" s="110">
        <v>15128</v>
      </c>
      <c r="AB26" s="110">
        <v>15385</v>
      </c>
      <c r="AC26" s="110">
        <v>6943.6</v>
      </c>
      <c r="AD26" s="110"/>
      <c r="AE26" s="110">
        <v>8441.4</v>
      </c>
      <c r="AF26" s="110"/>
      <c r="AG26" s="110"/>
      <c r="AH26" s="110"/>
      <c r="AI26" s="110"/>
      <c r="AJ26" s="110">
        <v>6666.7</v>
      </c>
      <c r="AK26" s="110"/>
      <c r="AL26" s="110"/>
      <c r="AM26" s="110">
        <v>2569.4</v>
      </c>
      <c r="AN26" s="110"/>
      <c r="AO26" s="110"/>
      <c r="AP26" s="110"/>
      <c r="AQ26" s="110"/>
      <c r="AR26" s="110"/>
      <c r="AS26" s="110"/>
      <c r="AT26" s="110">
        <v>2312.5</v>
      </c>
      <c r="AU26" s="110"/>
      <c r="AV26" s="110">
        <v>768.1</v>
      </c>
      <c r="AW26" s="110">
        <v>758</v>
      </c>
      <c r="AX26" s="110"/>
      <c r="AY26" s="110"/>
      <c r="AZ26" s="110">
        <v>117.1</v>
      </c>
      <c r="BA26" s="110"/>
      <c r="BB26" s="110">
        <v>77.099999999999994</v>
      </c>
      <c r="BC26" s="110"/>
      <c r="BD26" s="73">
        <v>8.4</v>
      </c>
      <c r="BE26" s="110">
        <v>13.9</v>
      </c>
    </row>
    <row r="27" spans="1:57" s="106" customFormat="1">
      <c r="A27" s="104"/>
      <c r="B27" s="50" t="s">
        <v>608</v>
      </c>
      <c r="C27" s="76">
        <v>3.5</v>
      </c>
      <c r="D27" s="76" t="s">
        <v>65</v>
      </c>
      <c r="E27" s="76">
        <v>18</v>
      </c>
      <c r="F27" s="76">
        <v>6</v>
      </c>
      <c r="G27" s="76">
        <v>2</v>
      </c>
      <c r="H27" s="76">
        <v>426</v>
      </c>
      <c r="I27" s="76">
        <v>54</v>
      </c>
      <c r="J27" s="77">
        <v>24</v>
      </c>
      <c r="K27" s="77">
        <v>8</v>
      </c>
      <c r="L27" s="76">
        <v>10.5</v>
      </c>
      <c r="M27" s="76">
        <v>82.6</v>
      </c>
      <c r="N27" s="76"/>
      <c r="O27" s="83">
        <v>46.6</v>
      </c>
      <c r="P27" s="83">
        <f t="shared" si="5"/>
        <v>69.900000000000006</v>
      </c>
      <c r="Q27" s="88">
        <f t="shared" si="6"/>
        <v>0.22602101944298481</v>
      </c>
      <c r="R27" s="88">
        <f t="shared" si="7"/>
        <v>0.33903152916447721</v>
      </c>
      <c r="S27" s="88">
        <v>0.46</v>
      </c>
      <c r="T27" s="89">
        <f t="shared" si="8"/>
        <v>0.69000000000000006</v>
      </c>
      <c r="U27" s="83">
        <v>31.1</v>
      </c>
      <c r="V27" s="83">
        <f t="shared" si="9"/>
        <v>46.650000000000006</v>
      </c>
      <c r="W27" s="78"/>
      <c r="X27" s="77">
        <v>45</v>
      </c>
      <c r="Y27" s="77">
        <v>90</v>
      </c>
      <c r="Z27" s="77" t="s">
        <v>606</v>
      </c>
      <c r="AA27" s="77">
        <v>15000</v>
      </c>
      <c r="AB27" s="77">
        <v>15153</v>
      </c>
      <c r="AC27" s="77">
        <v>6839.1</v>
      </c>
      <c r="AD27" s="77"/>
      <c r="AE27" s="77">
        <v>8314.1</v>
      </c>
      <c r="AF27" s="77"/>
      <c r="AG27" s="77"/>
      <c r="AH27" s="77"/>
      <c r="AI27" s="77"/>
      <c r="AJ27" s="77">
        <v>6666.7</v>
      </c>
      <c r="AK27" s="77"/>
      <c r="AL27" s="77"/>
      <c r="AM27" s="77">
        <v>1527.8</v>
      </c>
      <c r="AN27" s="77"/>
      <c r="AO27" s="77"/>
      <c r="AP27" s="77"/>
      <c r="AQ27" s="77"/>
      <c r="AR27" s="77"/>
      <c r="AS27" s="77"/>
      <c r="AT27" s="77">
        <v>1375</v>
      </c>
      <c r="AU27" s="77"/>
      <c r="AV27" s="77">
        <v>769</v>
      </c>
      <c r="AW27" s="77">
        <v>759.1</v>
      </c>
      <c r="AX27" s="77"/>
      <c r="AY27" s="77"/>
      <c r="AZ27" s="77">
        <v>73</v>
      </c>
      <c r="BA27" s="77"/>
      <c r="BB27" s="77">
        <v>53.1</v>
      </c>
      <c r="BC27" s="77"/>
      <c r="BD27" s="79">
        <v>8.1999999999999993</v>
      </c>
      <c r="BE27" s="77">
        <v>8.1999999999999993</v>
      </c>
    </row>
    <row r="28" spans="1:57" s="31" customFormat="1">
      <c r="A28" s="22"/>
      <c r="B28" s="32" t="s">
        <v>608</v>
      </c>
      <c r="C28" s="109">
        <v>3.5</v>
      </c>
      <c r="D28" s="109" t="s">
        <v>65</v>
      </c>
      <c r="E28" s="109">
        <v>16</v>
      </c>
      <c r="F28" s="109">
        <v>6</v>
      </c>
      <c r="G28" s="109">
        <v>2</v>
      </c>
      <c r="H28" s="109">
        <v>426</v>
      </c>
      <c r="I28" s="109">
        <v>54</v>
      </c>
      <c r="J28" s="110">
        <v>24</v>
      </c>
      <c r="K28" s="110">
        <v>8</v>
      </c>
      <c r="L28" s="109">
        <v>10.5</v>
      </c>
      <c r="M28" s="109">
        <v>59</v>
      </c>
      <c r="N28" s="109"/>
      <c r="O28" s="111">
        <v>33.299999999999997</v>
      </c>
      <c r="P28" s="111">
        <f t="shared" si="5"/>
        <v>49.949999999999996</v>
      </c>
      <c r="Q28" s="112">
        <f t="shared" si="6"/>
        <v>0.16151287440882817</v>
      </c>
      <c r="R28" s="113">
        <f t="shared" si="7"/>
        <v>0.24226931161324225</v>
      </c>
      <c r="S28" s="113">
        <v>0.33</v>
      </c>
      <c r="T28" s="114">
        <f t="shared" si="8"/>
        <v>0.495</v>
      </c>
      <c r="U28" s="111">
        <v>22.2</v>
      </c>
      <c r="V28" s="111">
        <f t="shared" si="9"/>
        <v>33.299999999999997</v>
      </c>
      <c r="W28" s="115"/>
      <c r="X28" s="110">
        <v>45</v>
      </c>
      <c r="Y28" s="110">
        <v>90</v>
      </c>
      <c r="Z28" s="110" t="s">
        <v>606</v>
      </c>
      <c r="AA28" s="110">
        <v>15094</v>
      </c>
      <c r="AB28" s="110">
        <v>15323</v>
      </c>
      <c r="AC28" s="110">
        <v>6915.7</v>
      </c>
      <c r="AD28" s="110"/>
      <c r="AE28" s="110">
        <v>8408</v>
      </c>
      <c r="AF28" s="110"/>
      <c r="AG28" s="110"/>
      <c r="AH28" s="110"/>
      <c r="AI28" s="110"/>
      <c r="AJ28" s="110">
        <v>6666.7</v>
      </c>
      <c r="AK28" s="110"/>
      <c r="AL28" s="110"/>
      <c r="AM28" s="110">
        <v>2291.6999999999998</v>
      </c>
      <c r="AN28" s="110"/>
      <c r="AO28" s="110"/>
      <c r="AP28" s="110"/>
      <c r="AQ28" s="110"/>
      <c r="AR28" s="110"/>
      <c r="AS28" s="110"/>
      <c r="AT28" s="110">
        <v>2062.5</v>
      </c>
      <c r="AU28" s="110"/>
      <c r="AV28" s="110">
        <v>780.3</v>
      </c>
      <c r="AW28" s="110">
        <v>770.2</v>
      </c>
      <c r="AX28" s="110"/>
      <c r="AY28" s="110"/>
      <c r="AZ28" s="110">
        <v>109.4</v>
      </c>
      <c r="BA28" s="110"/>
      <c r="BB28" s="110">
        <v>74.5</v>
      </c>
      <c r="BC28" s="110"/>
      <c r="BD28" s="73">
        <v>8.3000000000000007</v>
      </c>
      <c r="BE28" s="110">
        <v>12.4</v>
      </c>
    </row>
    <row r="29" spans="1:57" s="106" customFormat="1">
      <c r="B29" s="50" t="s">
        <v>608</v>
      </c>
      <c r="C29" s="76">
        <v>3.5</v>
      </c>
      <c r="D29" s="76" t="s">
        <v>65</v>
      </c>
      <c r="E29" s="76">
        <v>15</v>
      </c>
      <c r="F29" s="76">
        <v>6</v>
      </c>
      <c r="G29" s="76">
        <v>2</v>
      </c>
      <c r="H29" s="76">
        <v>426</v>
      </c>
      <c r="I29" s="76">
        <v>54</v>
      </c>
      <c r="J29" s="77">
        <v>24</v>
      </c>
      <c r="K29" s="77">
        <v>8</v>
      </c>
      <c r="L29" s="76">
        <v>10.5</v>
      </c>
      <c r="M29" s="76">
        <v>88.3</v>
      </c>
      <c r="N29" s="76"/>
      <c r="O29" s="83">
        <v>49.8</v>
      </c>
      <c r="P29" s="83">
        <f t="shared" si="5"/>
        <v>74.699999999999989</v>
      </c>
      <c r="Q29" s="88">
        <f t="shared" si="6"/>
        <v>0.24154177614293218</v>
      </c>
      <c r="R29" s="88">
        <f t="shared" si="7"/>
        <v>0.36231266421439828</v>
      </c>
      <c r="S29" s="88">
        <v>0.46</v>
      </c>
      <c r="T29" s="89">
        <f t="shared" si="8"/>
        <v>0.69000000000000006</v>
      </c>
      <c r="U29" s="83">
        <v>33.299999999999997</v>
      </c>
      <c r="V29" s="83">
        <f t="shared" si="9"/>
        <v>49.949999999999996</v>
      </c>
      <c r="W29" s="78"/>
      <c r="X29" s="77">
        <v>45</v>
      </c>
      <c r="Y29" s="77">
        <v>90</v>
      </c>
      <c r="Z29" s="77" t="s">
        <v>606</v>
      </c>
      <c r="AA29" s="77">
        <v>14941</v>
      </c>
      <c r="AB29" s="77">
        <v>15045</v>
      </c>
      <c r="AC29" s="77">
        <v>6790.3</v>
      </c>
      <c r="AD29" s="77"/>
      <c r="AE29" s="77">
        <v>8255.2000000000007</v>
      </c>
      <c r="AF29" s="77"/>
      <c r="AG29" s="77"/>
      <c r="AH29" s="77"/>
      <c r="AI29" s="77"/>
      <c r="AJ29" s="77">
        <v>6666.7</v>
      </c>
      <c r="AK29" s="77"/>
      <c r="AL29" s="77"/>
      <c r="AM29" s="77">
        <v>1041.7</v>
      </c>
      <c r="AN29" s="77"/>
      <c r="AO29" s="77"/>
      <c r="AP29" s="77"/>
      <c r="AQ29" s="77"/>
      <c r="AR29" s="77"/>
      <c r="AS29" s="77"/>
      <c r="AT29" s="77">
        <v>937.5</v>
      </c>
      <c r="AU29" s="77"/>
      <c r="AV29" s="77">
        <v>788</v>
      </c>
      <c r="AW29" s="77">
        <v>778.1</v>
      </c>
      <c r="AX29" s="77"/>
      <c r="AY29" s="77"/>
      <c r="AZ29" s="77">
        <v>55.5</v>
      </c>
      <c r="BA29" s="77"/>
      <c r="BB29" s="77">
        <v>42.8</v>
      </c>
      <c r="BC29" s="77"/>
      <c r="BD29" s="74">
        <v>8.1999999999999993</v>
      </c>
      <c r="BE29" s="77">
        <v>5.6</v>
      </c>
    </row>
    <row r="30" spans="1:57" s="31" customFormat="1">
      <c r="A30" s="22"/>
      <c r="B30" s="32" t="s">
        <v>608</v>
      </c>
      <c r="C30" s="109">
        <v>3.5</v>
      </c>
      <c r="D30" s="109" t="s">
        <v>65</v>
      </c>
      <c r="E30" s="109">
        <v>14</v>
      </c>
      <c r="F30" s="109">
        <v>6</v>
      </c>
      <c r="G30" s="109">
        <v>2</v>
      </c>
      <c r="H30" s="109">
        <v>426</v>
      </c>
      <c r="I30" s="109">
        <v>54</v>
      </c>
      <c r="J30" s="110">
        <v>24</v>
      </c>
      <c r="K30" s="110">
        <v>8</v>
      </c>
      <c r="L30" s="109">
        <v>10.5</v>
      </c>
      <c r="M30" s="109">
        <v>60.5</v>
      </c>
      <c r="N30" s="109"/>
      <c r="O30" s="111">
        <v>34.1</v>
      </c>
      <c r="P30" s="111">
        <f t="shared" si="5"/>
        <v>51.150000000000006</v>
      </c>
      <c r="Q30" s="112">
        <f t="shared" si="6"/>
        <v>0.16539306358381503</v>
      </c>
      <c r="R30" s="113">
        <f t="shared" si="7"/>
        <v>0.24808959537572256</v>
      </c>
      <c r="S30" s="113">
        <v>0.33</v>
      </c>
      <c r="T30" s="114">
        <f t="shared" si="8"/>
        <v>0.495</v>
      </c>
      <c r="U30" s="111">
        <v>22.8</v>
      </c>
      <c r="V30" s="111">
        <f t="shared" si="9"/>
        <v>34.200000000000003</v>
      </c>
      <c r="W30" s="115"/>
      <c r="X30" s="110">
        <v>45</v>
      </c>
      <c r="Y30" s="110">
        <v>90</v>
      </c>
      <c r="Z30" s="110" t="s">
        <v>606</v>
      </c>
      <c r="AA30" s="110">
        <v>15060</v>
      </c>
      <c r="AB30" s="110">
        <v>15261</v>
      </c>
      <c r="AC30" s="110">
        <v>6888</v>
      </c>
      <c r="AD30" s="110"/>
      <c r="AE30" s="110">
        <v>8374</v>
      </c>
      <c r="AF30" s="110"/>
      <c r="AG30" s="110"/>
      <c r="AH30" s="110"/>
      <c r="AI30" s="110"/>
      <c r="AJ30" s="110">
        <v>6666.7</v>
      </c>
      <c r="AK30" s="110"/>
      <c r="AL30" s="110"/>
      <c r="AM30" s="110">
        <v>2013.9</v>
      </c>
      <c r="AN30" s="110"/>
      <c r="AO30" s="110"/>
      <c r="AP30" s="110"/>
      <c r="AQ30" s="110"/>
      <c r="AR30" s="110"/>
      <c r="AS30" s="110"/>
      <c r="AT30" s="110">
        <v>1812.5</v>
      </c>
      <c r="AU30" s="110"/>
      <c r="AV30" s="110">
        <v>795.4</v>
      </c>
      <c r="AW30" s="110">
        <v>785.3</v>
      </c>
      <c r="AX30" s="110"/>
      <c r="AY30" s="110"/>
      <c r="AZ30" s="110">
        <v>100.9</v>
      </c>
      <c r="BA30" s="110"/>
      <c r="BB30" s="110">
        <v>71.099999999999994</v>
      </c>
      <c r="BC30" s="110"/>
      <c r="BD30" s="73">
        <v>8.3000000000000007</v>
      </c>
      <c r="BE30" s="110">
        <v>10.9</v>
      </c>
    </row>
    <row r="31" spans="1:57" s="106" customFormat="1">
      <c r="A31" s="104"/>
      <c r="B31" s="50" t="s">
        <v>608</v>
      </c>
      <c r="C31" s="76">
        <v>3.5</v>
      </c>
      <c r="D31" s="76" t="s">
        <v>65</v>
      </c>
      <c r="E31" s="76">
        <v>13</v>
      </c>
      <c r="F31" s="76">
        <v>6</v>
      </c>
      <c r="G31" s="76">
        <v>2</v>
      </c>
      <c r="H31" s="76">
        <v>426</v>
      </c>
      <c r="I31" s="76">
        <v>54</v>
      </c>
      <c r="J31" s="77">
        <v>24</v>
      </c>
      <c r="K31" s="77">
        <v>8</v>
      </c>
      <c r="L31" s="76">
        <v>10.5</v>
      </c>
      <c r="M31" s="76">
        <v>91.2</v>
      </c>
      <c r="N31" s="76"/>
      <c r="O31" s="83">
        <v>51.5</v>
      </c>
      <c r="P31" s="83">
        <f t="shared" si="5"/>
        <v>77.25</v>
      </c>
      <c r="Q31" s="88">
        <f t="shared" si="6"/>
        <v>0.2497871781397793</v>
      </c>
      <c r="R31" s="88">
        <f t="shared" si="7"/>
        <v>0.37468076720966892</v>
      </c>
      <c r="S31" s="88">
        <v>0.46</v>
      </c>
      <c r="T31" s="89">
        <f t="shared" si="8"/>
        <v>0.69000000000000006</v>
      </c>
      <c r="U31" s="83">
        <v>34.4</v>
      </c>
      <c r="V31" s="83">
        <f t="shared" si="9"/>
        <v>51.599999999999994</v>
      </c>
      <c r="W31" s="78"/>
      <c r="X31" s="77">
        <v>45</v>
      </c>
      <c r="Y31" s="77">
        <v>90</v>
      </c>
      <c r="Z31" s="77" t="s">
        <v>606</v>
      </c>
      <c r="AA31" s="77">
        <v>14907</v>
      </c>
      <c r="AB31" s="77">
        <v>14983</v>
      </c>
      <c r="AC31" s="77">
        <v>6762.5</v>
      </c>
      <c r="AD31" s="77"/>
      <c r="AE31" s="77">
        <v>8221.2999999999993</v>
      </c>
      <c r="AF31" s="77"/>
      <c r="AG31" s="77"/>
      <c r="AH31" s="77"/>
      <c r="AI31" s="77"/>
      <c r="AJ31" s="77">
        <v>6666.7</v>
      </c>
      <c r="AK31" s="77"/>
      <c r="AL31" s="77"/>
      <c r="AM31" s="77">
        <v>763.9</v>
      </c>
      <c r="AN31" s="77"/>
      <c r="AO31" s="77"/>
      <c r="AP31" s="77"/>
      <c r="AQ31" s="77"/>
      <c r="AR31" s="77"/>
      <c r="AS31" s="77"/>
      <c r="AT31" s="77">
        <v>687.5</v>
      </c>
      <c r="AU31" s="77"/>
      <c r="AV31" s="77">
        <v>804.4</v>
      </c>
      <c r="AW31" s="77">
        <v>794.5</v>
      </c>
      <c r="AX31" s="77"/>
      <c r="AY31" s="77"/>
      <c r="AZ31" s="77">
        <v>44.3</v>
      </c>
      <c r="BA31" s="77"/>
      <c r="BB31" s="77">
        <v>35.200000000000003</v>
      </c>
      <c r="BC31" s="77"/>
      <c r="BD31" s="120">
        <v>8.1</v>
      </c>
      <c r="BE31" s="77">
        <v>4.0999999999999996</v>
      </c>
    </row>
    <row r="32" spans="1:57" s="31" customFormat="1">
      <c r="A32" s="22"/>
      <c r="B32" s="50" t="s">
        <v>608</v>
      </c>
      <c r="C32" s="76">
        <v>3.5</v>
      </c>
      <c r="D32" s="76" t="s">
        <v>65</v>
      </c>
      <c r="E32" s="76">
        <v>12</v>
      </c>
      <c r="F32" s="76">
        <v>6</v>
      </c>
      <c r="G32" s="76">
        <v>2</v>
      </c>
      <c r="H32" s="76">
        <v>426</v>
      </c>
      <c r="I32" s="76">
        <v>54</v>
      </c>
      <c r="J32" s="77">
        <v>24</v>
      </c>
      <c r="K32" s="77">
        <v>8</v>
      </c>
      <c r="L32" s="76">
        <v>10.5</v>
      </c>
      <c r="M32" s="76">
        <v>61.9</v>
      </c>
      <c r="N32" s="76"/>
      <c r="O32" s="83">
        <v>34.9</v>
      </c>
      <c r="P32" s="83">
        <f t="shared" si="5"/>
        <v>52.349999999999994</v>
      </c>
      <c r="Q32" s="88">
        <f t="shared" si="6"/>
        <v>0.1692732527588019</v>
      </c>
      <c r="R32" s="88">
        <f t="shared" si="7"/>
        <v>0.25390987913820284</v>
      </c>
      <c r="S32" s="88">
        <v>0.32</v>
      </c>
      <c r="T32" s="88">
        <f t="shared" si="8"/>
        <v>0.48</v>
      </c>
      <c r="U32" s="83">
        <v>23.3</v>
      </c>
      <c r="V32" s="85">
        <f t="shared" si="9"/>
        <v>34.950000000000003</v>
      </c>
      <c r="W32" s="78"/>
      <c r="X32" s="77">
        <v>45</v>
      </c>
      <c r="Y32" s="77">
        <v>90</v>
      </c>
      <c r="Z32" s="77" t="s">
        <v>606</v>
      </c>
      <c r="AA32" s="77">
        <v>15026</v>
      </c>
      <c r="AB32" s="77">
        <v>15199</v>
      </c>
      <c r="AC32" s="77">
        <v>6860</v>
      </c>
      <c r="AD32" s="77"/>
      <c r="AE32" s="77">
        <v>8340</v>
      </c>
      <c r="AF32" s="77"/>
      <c r="AG32" s="77"/>
      <c r="AH32" s="77"/>
      <c r="AI32" s="77"/>
      <c r="AJ32" s="77">
        <v>6666.7</v>
      </c>
      <c r="AK32" s="77"/>
      <c r="AL32" s="77"/>
      <c r="AM32" s="77">
        <v>1736.1</v>
      </c>
      <c r="AN32" s="77"/>
      <c r="AO32" s="77"/>
      <c r="AP32" s="77"/>
      <c r="AQ32" s="77"/>
      <c r="AR32" s="77"/>
      <c r="AS32" s="77"/>
      <c r="AT32" s="77">
        <v>1562.5</v>
      </c>
      <c r="AU32" s="77"/>
      <c r="AV32" s="77">
        <v>814</v>
      </c>
      <c r="AW32" s="77">
        <v>803.8</v>
      </c>
      <c r="AX32" s="77"/>
      <c r="AY32" s="77"/>
      <c r="AZ32" s="77">
        <v>91.6</v>
      </c>
      <c r="BA32" s="77"/>
      <c r="BB32" s="77">
        <v>66.599999999999994</v>
      </c>
      <c r="BC32" s="77"/>
      <c r="BD32" s="79">
        <v>8.1999999999999993</v>
      </c>
      <c r="BE32" s="77">
        <v>9.4</v>
      </c>
    </row>
    <row r="33" spans="1:57" s="31" customFormat="1">
      <c r="A33" s="22"/>
      <c r="B33" s="50" t="s">
        <v>608</v>
      </c>
      <c r="C33" s="76">
        <v>3.5</v>
      </c>
      <c r="D33" s="76" t="s">
        <v>65</v>
      </c>
      <c r="E33" s="76">
        <v>10</v>
      </c>
      <c r="F33" s="76">
        <v>6</v>
      </c>
      <c r="G33" s="76">
        <v>2</v>
      </c>
      <c r="H33" s="76">
        <v>426</v>
      </c>
      <c r="I33" s="76">
        <v>54</v>
      </c>
      <c r="J33" s="77">
        <v>24</v>
      </c>
      <c r="K33" s="77">
        <v>8</v>
      </c>
      <c r="L33" s="76">
        <v>10.5</v>
      </c>
      <c r="M33" s="76">
        <v>61.8</v>
      </c>
      <c r="N33" s="76"/>
      <c r="O33" s="83">
        <v>34.9</v>
      </c>
      <c r="P33" s="83">
        <f t="shared" si="5"/>
        <v>52.349999999999994</v>
      </c>
      <c r="Q33" s="88">
        <f t="shared" si="6"/>
        <v>0.1692732527588019</v>
      </c>
      <c r="R33" s="88">
        <f t="shared" si="7"/>
        <v>0.25390987913820284</v>
      </c>
      <c r="S33" s="88">
        <v>0.31</v>
      </c>
      <c r="T33" s="88">
        <f t="shared" si="8"/>
        <v>0.46499999999999997</v>
      </c>
      <c r="U33" s="83">
        <v>23.3</v>
      </c>
      <c r="V33" s="85">
        <f t="shared" si="9"/>
        <v>34.950000000000003</v>
      </c>
      <c r="W33" s="78"/>
      <c r="X33" s="77">
        <v>45</v>
      </c>
      <c r="Y33" s="77">
        <v>90</v>
      </c>
      <c r="Z33" s="77" t="s">
        <v>606</v>
      </c>
      <c r="AA33" s="77">
        <v>15000</v>
      </c>
      <c r="AB33" s="77">
        <v>15153</v>
      </c>
      <c r="AC33" s="77">
        <v>6839.1</v>
      </c>
      <c r="AD33" s="77"/>
      <c r="AE33" s="77">
        <v>8314.4</v>
      </c>
      <c r="AF33" s="77"/>
      <c r="AG33" s="77"/>
      <c r="AH33" s="77"/>
      <c r="AI33" s="77"/>
      <c r="AJ33" s="77">
        <v>6666.7</v>
      </c>
      <c r="AK33" s="77"/>
      <c r="AL33" s="77"/>
      <c r="AM33" s="77">
        <v>1527.8</v>
      </c>
      <c r="AN33" s="77"/>
      <c r="AO33" s="77"/>
      <c r="AP33" s="77"/>
      <c r="AQ33" s="77"/>
      <c r="AR33" s="77"/>
      <c r="AS33" s="77"/>
      <c r="AT33" s="77">
        <v>1375</v>
      </c>
      <c r="AU33" s="77"/>
      <c r="AV33" s="77">
        <v>836.6</v>
      </c>
      <c r="AW33" s="77">
        <v>826.5</v>
      </c>
      <c r="AX33" s="77"/>
      <c r="AY33" s="77"/>
      <c r="AZ33" s="77">
        <v>84.8</v>
      </c>
      <c r="BA33" s="77"/>
      <c r="BB33" s="77">
        <v>63.3</v>
      </c>
      <c r="BC33" s="77"/>
      <c r="BD33" s="79">
        <v>8.1999999999999993</v>
      </c>
      <c r="BE33" s="77">
        <v>8.1999999999999993</v>
      </c>
    </row>
    <row r="34" spans="1:57" s="31" customFormat="1">
      <c r="A34" s="22"/>
      <c r="B34" s="50" t="s">
        <v>608</v>
      </c>
      <c r="C34" s="76">
        <v>3.5</v>
      </c>
      <c r="D34" s="76" t="s">
        <v>65</v>
      </c>
      <c r="E34" s="76">
        <v>8</v>
      </c>
      <c r="F34" s="76">
        <v>6</v>
      </c>
      <c r="G34" s="76">
        <v>2</v>
      </c>
      <c r="H34" s="76">
        <v>426</v>
      </c>
      <c r="I34" s="76">
        <v>54</v>
      </c>
      <c r="J34" s="77">
        <v>24</v>
      </c>
      <c r="K34" s="77">
        <v>8</v>
      </c>
      <c r="L34" s="76">
        <v>10.5</v>
      </c>
      <c r="M34" s="76">
        <v>62.4</v>
      </c>
      <c r="N34" s="76"/>
      <c r="O34" s="83">
        <v>35.200000000000003</v>
      </c>
      <c r="P34" s="83">
        <f t="shared" si="5"/>
        <v>52.800000000000004</v>
      </c>
      <c r="Q34" s="88">
        <f t="shared" si="6"/>
        <v>0.17072832369942201</v>
      </c>
      <c r="R34" s="88">
        <f t="shared" si="7"/>
        <v>0.256092485549133</v>
      </c>
      <c r="S34" s="88">
        <v>0.3</v>
      </c>
      <c r="T34" s="88">
        <f t="shared" si="8"/>
        <v>0.44999999999999996</v>
      </c>
      <c r="U34" s="83">
        <v>23.4</v>
      </c>
      <c r="V34" s="85">
        <f t="shared" si="9"/>
        <v>35.099999999999994</v>
      </c>
      <c r="W34" s="78"/>
      <c r="X34" s="77">
        <v>45</v>
      </c>
      <c r="Y34" s="77">
        <v>90</v>
      </c>
      <c r="Z34" s="77" t="s">
        <v>606</v>
      </c>
      <c r="AA34" s="77">
        <v>14966</v>
      </c>
      <c r="AB34" s="77">
        <v>15091</v>
      </c>
      <c r="AC34" s="77">
        <v>6811.2</v>
      </c>
      <c r="AD34" s="77"/>
      <c r="AE34" s="77">
        <v>8280.6</v>
      </c>
      <c r="AF34" s="77"/>
      <c r="AG34" s="77"/>
      <c r="AH34" s="77"/>
      <c r="AI34" s="77"/>
      <c r="AJ34" s="77">
        <v>6666.7</v>
      </c>
      <c r="AK34" s="77"/>
      <c r="AL34" s="77"/>
      <c r="AM34" s="77">
        <v>1250</v>
      </c>
      <c r="AN34" s="77"/>
      <c r="AO34" s="77"/>
      <c r="AP34" s="77"/>
      <c r="AQ34" s="77"/>
      <c r="AR34" s="77"/>
      <c r="AS34" s="77"/>
      <c r="AT34" s="77">
        <v>1125</v>
      </c>
      <c r="AU34" s="77"/>
      <c r="AV34" s="77">
        <v>864.1</v>
      </c>
      <c r="AW34" s="77">
        <v>854</v>
      </c>
      <c r="AX34" s="77"/>
      <c r="AY34" s="77"/>
      <c r="AZ34" s="77">
        <v>73.5</v>
      </c>
      <c r="BA34" s="77"/>
      <c r="BB34" s="77">
        <v>56.5</v>
      </c>
      <c r="BC34" s="77"/>
      <c r="BD34" s="79">
        <v>8.1999999999999993</v>
      </c>
      <c r="BE34" s="77">
        <v>6.7</v>
      </c>
    </row>
    <row r="35" spans="1:57" s="106" customFormat="1">
      <c r="A35" s="104"/>
      <c r="B35" s="50"/>
      <c r="C35" s="76"/>
      <c r="D35" s="76"/>
      <c r="E35" s="76"/>
      <c r="F35" s="76"/>
      <c r="G35" s="76"/>
      <c r="H35" s="76"/>
      <c r="I35" s="76"/>
      <c r="J35" s="77"/>
      <c r="K35" s="77"/>
      <c r="L35" s="76"/>
      <c r="M35" s="76"/>
      <c r="N35" s="76"/>
      <c r="O35" s="83"/>
      <c r="P35" s="83"/>
      <c r="Q35" s="88"/>
      <c r="R35" s="88"/>
      <c r="S35" s="88"/>
      <c r="T35" s="88"/>
      <c r="U35" s="83"/>
      <c r="V35" s="85"/>
      <c r="W35" s="78"/>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9"/>
      <c r="BE35" s="77"/>
    </row>
    <row r="36" spans="1:57" s="31" customFormat="1">
      <c r="A36" s="22"/>
      <c r="B36" s="50" t="s">
        <v>608</v>
      </c>
      <c r="C36" s="76">
        <v>5</v>
      </c>
      <c r="D36" s="76">
        <v>33.6</v>
      </c>
      <c r="E36" s="76">
        <v>12</v>
      </c>
      <c r="F36" s="76">
        <v>6</v>
      </c>
      <c r="G36" s="76">
        <v>2</v>
      </c>
      <c r="H36" s="76">
        <v>426</v>
      </c>
      <c r="I36" s="76">
        <v>54</v>
      </c>
      <c r="J36" s="77">
        <v>24</v>
      </c>
      <c r="K36" s="77">
        <v>8</v>
      </c>
      <c r="L36" s="76">
        <v>10.5</v>
      </c>
      <c r="M36" s="76">
        <v>62.1</v>
      </c>
      <c r="N36" s="76"/>
      <c r="O36" s="83">
        <v>35</v>
      </c>
      <c r="P36" s="83">
        <f>IF(C36=0,$P$8*O36,$P$9*O36)</f>
        <v>52.5</v>
      </c>
      <c r="Q36" s="88">
        <f>IF(D36="Max",O36/21000*110*$R$98,O36/19030*71*$R$98)</f>
        <v>0.16975827640567528</v>
      </c>
      <c r="R36" s="88">
        <f>IF(C36=0,$R$8*Q36,$R$9*Q36)</f>
        <v>0.25463741460851291</v>
      </c>
      <c r="S36" s="88">
        <v>0.32</v>
      </c>
      <c r="T36" s="88">
        <f>IF(C36=0,$T$8*S36,$T$9*S36)</f>
        <v>0.48</v>
      </c>
      <c r="U36" s="83">
        <v>23.4</v>
      </c>
      <c r="V36" s="85">
        <f>IF(C36=0,$V$8*U36,$V$9*U36)</f>
        <v>35.099999999999994</v>
      </c>
      <c r="W36" s="78"/>
      <c r="X36" s="77">
        <v>45</v>
      </c>
      <c r="Y36" s="77">
        <v>90</v>
      </c>
      <c r="Z36" s="77" t="s">
        <v>606</v>
      </c>
      <c r="AA36" s="77">
        <v>15022</v>
      </c>
      <c r="AB36" s="77">
        <v>15192</v>
      </c>
      <c r="AC36" s="77">
        <v>6856.5</v>
      </c>
      <c r="AD36" s="77"/>
      <c r="AE36" s="77">
        <v>8335.6</v>
      </c>
      <c r="AF36" s="77"/>
      <c r="AG36" s="77"/>
      <c r="AH36" s="77"/>
      <c r="AI36" s="77"/>
      <c r="AJ36" s="77">
        <v>6666.7</v>
      </c>
      <c r="AK36" s="77"/>
      <c r="AL36" s="77"/>
      <c r="AM36" s="77">
        <v>1701.4</v>
      </c>
      <c r="AN36" s="77"/>
      <c r="AO36" s="77"/>
      <c r="AP36" s="77"/>
      <c r="AQ36" s="77"/>
      <c r="AR36" s="77"/>
      <c r="AS36" s="77"/>
      <c r="AT36" s="77">
        <v>1531.3</v>
      </c>
      <c r="AU36" s="77"/>
      <c r="AV36" s="77">
        <v>819.7</v>
      </c>
      <c r="AW36" s="77">
        <v>809.5</v>
      </c>
      <c r="AX36" s="77"/>
      <c r="AY36" s="77"/>
      <c r="AZ36" s="77">
        <v>92.8</v>
      </c>
      <c r="BA36" s="77"/>
      <c r="BB36" s="77">
        <v>68.3</v>
      </c>
      <c r="BC36" s="77"/>
      <c r="BD36" s="79">
        <v>8.3000000000000007</v>
      </c>
      <c r="BE36" s="77">
        <v>9.1999999999999993</v>
      </c>
    </row>
    <row r="37" spans="1:57" s="31" customFormat="1">
      <c r="A37" s="22"/>
      <c r="B37" s="50" t="s">
        <v>608</v>
      </c>
      <c r="C37" s="76">
        <v>3.5</v>
      </c>
      <c r="D37" s="76">
        <v>33.6</v>
      </c>
      <c r="E37" s="76">
        <v>12</v>
      </c>
      <c r="F37" s="76">
        <v>6</v>
      </c>
      <c r="G37" s="76">
        <v>2</v>
      </c>
      <c r="H37" s="76">
        <v>426</v>
      </c>
      <c r="I37" s="76">
        <v>54</v>
      </c>
      <c r="J37" s="77">
        <v>24</v>
      </c>
      <c r="K37" s="77">
        <v>8</v>
      </c>
      <c r="L37" s="76">
        <v>10.5</v>
      </c>
      <c r="M37" s="76">
        <v>62.1</v>
      </c>
      <c r="N37" s="76"/>
      <c r="O37" s="83">
        <v>35</v>
      </c>
      <c r="P37" s="83">
        <f>IF(C37=0,$P$8*O37,$P$9*O37)</f>
        <v>52.5</v>
      </c>
      <c r="Q37" s="88">
        <f>IF(D37="Max",O37/21000*110*$R$98,O37/19030*71*$R$98)</f>
        <v>0.16975827640567528</v>
      </c>
      <c r="R37" s="88">
        <f>IF(C37=0,$R$8*Q37,$R$9*Q37)</f>
        <v>0.25463741460851291</v>
      </c>
      <c r="S37" s="88">
        <v>0.32</v>
      </c>
      <c r="T37" s="88">
        <f>IF(C37=0,$T$8*S37,$T$9*S37)</f>
        <v>0.48</v>
      </c>
      <c r="U37" s="83">
        <v>23.4</v>
      </c>
      <c r="V37" s="85">
        <f>IF(C37=0,$V$8*U37,$V$9*U37)</f>
        <v>35.099999999999994</v>
      </c>
      <c r="W37" s="78"/>
      <c r="X37" s="77">
        <v>45</v>
      </c>
      <c r="Y37" s="77">
        <v>90</v>
      </c>
      <c r="Z37" s="77" t="s">
        <v>606</v>
      </c>
      <c r="AA37" s="77">
        <v>15017</v>
      </c>
      <c r="AB37" s="77">
        <v>15184</v>
      </c>
      <c r="AC37" s="77">
        <v>6853</v>
      </c>
      <c r="AD37" s="77"/>
      <c r="AE37" s="77">
        <v>8331</v>
      </c>
      <c r="AF37" s="77"/>
      <c r="AG37" s="77"/>
      <c r="AH37" s="77"/>
      <c r="AI37" s="77"/>
      <c r="AJ37" s="77">
        <v>6666.7</v>
      </c>
      <c r="AK37" s="77"/>
      <c r="AL37" s="77"/>
      <c r="AM37" s="77">
        <v>1667</v>
      </c>
      <c r="AN37" s="77"/>
      <c r="AO37" s="77"/>
      <c r="AP37" s="77"/>
      <c r="AQ37" s="77"/>
      <c r="AR37" s="77"/>
      <c r="AS37" s="77"/>
      <c r="AT37" s="77">
        <v>1500</v>
      </c>
      <c r="AU37" s="77"/>
      <c r="AV37" s="77">
        <v>797.6</v>
      </c>
      <c r="AW37" s="77">
        <v>787.5</v>
      </c>
      <c r="AX37" s="77"/>
      <c r="AY37" s="77"/>
      <c r="AZ37" s="77">
        <v>87.8</v>
      </c>
      <c r="BA37" s="77"/>
      <c r="BB37" s="77">
        <v>64.099999999999994</v>
      </c>
      <c r="BC37" s="77"/>
      <c r="BD37" s="79">
        <v>8.1999999999999993</v>
      </c>
      <c r="BE37" s="77">
        <v>9</v>
      </c>
    </row>
    <row r="38" spans="1:57" s="31" customFormat="1">
      <c r="A38" s="22"/>
      <c r="B38" s="50"/>
      <c r="C38" s="76"/>
      <c r="D38" s="76"/>
      <c r="E38" s="76"/>
      <c r="F38" s="76"/>
      <c r="G38" s="76"/>
      <c r="H38" s="76"/>
      <c r="I38" s="76"/>
      <c r="J38" s="77"/>
      <c r="K38" s="77"/>
      <c r="L38" s="76"/>
      <c r="M38" s="76"/>
      <c r="N38" s="76"/>
      <c r="O38" s="83"/>
      <c r="P38" s="83"/>
      <c r="Q38" s="88" t="s">
        <v>46</v>
      </c>
      <c r="R38" s="88"/>
      <c r="S38" s="88"/>
      <c r="T38" s="88"/>
      <c r="U38" s="83"/>
      <c r="V38" s="85"/>
      <c r="W38" s="78"/>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9"/>
      <c r="BE38" s="77"/>
    </row>
    <row r="39" spans="1:57" s="31" customFormat="1">
      <c r="A39" s="22"/>
      <c r="B39" s="50" t="s">
        <v>608</v>
      </c>
      <c r="C39" s="76">
        <v>0</v>
      </c>
      <c r="D39" s="76" t="s">
        <v>47</v>
      </c>
      <c r="E39" s="76">
        <v>18</v>
      </c>
      <c r="F39" s="76">
        <v>7</v>
      </c>
      <c r="G39" s="76">
        <v>2</v>
      </c>
      <c r="H39" s="76">
        <v>497</v>
      </c>
      <c r="I39" s="76">
        <v>54</v>
      </c>
      <c r="J39" s="77">
        <v>24</v>
      </c>
      <c r="K39" s="77">
        <v>8.3000000000000007</v>
      </c>
      <c r="L39" s="76">
        <v>10.199999999999999</v>
      </c>
      <c r="M39" s="76"/>
      <c r="N39" s="76"/>
      <c r="O39" s="83">
        <v>56</v>
      </c>
      <c r="P39" s="83">
        <f>IF(C39=0,$P$8*O39,$P$9*O39)</f>
        <v>72.8</v>
      </c>
      <c r="Q39" s="88">
        <f>IF(D39="Max",O39/21000*110*$R$98,O39/19030*71*$R$98)</f>
        <v>0.38133333333333336</v>
      </c>
      <c r="R39" s="89">
        <f>IF(C39=0,$R$8*Q39,$R$9*Q39)</f>
        <v>0.49573333333333336</v>
      </c>
      <c r="S39" s="88">
        <v>0.49</v>
      </c>
      <c r="T39" s="88">
        <f>IF(C39=0,$T$8*S39,$T$9*S39)</f>
        <v>0.63700000000000001</v>
      </c>
      <c r="U39" s="83">
        <v>40.700000000000003</v>
      </c>
      <c r="V39" s="83">
        <f>IF(C39=0,$V$8*U39,$V$9*U39)</f>
        <v>52.910000000000004</v>
      </c>
      <c r="W39" s="78"/>
      <c r="X39" s="77">
        <v>45</v>
      </c>
      <c r="Y39" s="77">
        <v>90</v>
      </c>
      <c r="Z39" s="77" t="s">
        <v>607</v>
      </c>
      <c r="AA39" s="77">
        <v>14992</v>
      </c>
      <c r="AB39" s="77">
        <v>15138</v>
      </c>
      <c r="AC39" s="77">
        <v>6832.1</v>
      </c>
      <c r="AD39" s="77"/>
      <c r="AE39" s="77">
        <v>8306</v>
      </c>
      <c r="AF39" s="77"/>
      <c r="AG39" s="77"/>
      <c r="AH39" s="77"/>
      <c r="AI39" s="77"/>
      <c r="AJ39" s="77">
        <v>6666.7</v>
      </c>
      <c r="AK39" s="77"/>
      <c r="AL39" s="77"/>
      <c r="AM39" s="77">
        <v>1458.3</v>
      </c>
      <c r="AN39" s="77"/>
      <c r="AO39" s="77"/>
      <c r="AP39" s="77"/>
      <c r="AQ39" s="77"/>
      <c r="AR39" s="77"/>
      <c r="AS39" s="77"/>
      <c r="AT39" s="77">
        <v>1312.5</v>
      </c>
      <c r="AU39" s="77"/>
      <c r="AV39" s="77">
        <v>780.6</v>
      </c>
      <c r="AW39" s="77">
        <v>773</v>
      </c>
      <c r="AX39" s="77"/>
      <c r="AY39" s="77"/>
      <c r="AZ39" s="77">
        <v>73.3</v>
      </c>
      <c r="BA39" s="77"/>
      <c r="BB39" s="77">
        <v>57.6</v>
      </c>
      <c r="BC39" s="77"/>
      <c r="BD39" s="79">
        <v>7</v>
      </c>
      <c r="BE39" s="77">
        <v>7.9</v>
      </c>
    </row>
    <row r="40" spans="1:57" s="31" customFormat="1">
      <c r="A40" s="22"/>
      <c r="B40" s="50" t="s">
        <v>608</v>
      </c>
      <c r="C40" s="76">
        <v>0</v>
      </c>
      <c r="D40" s="76" t="s">
        <v>47</v>
      </c>
      <c r="E40" s="76">
        <v>15</v>
      </c>
      <c r="F40" s="76">
        <v>7</v>
      </c>
      <c r="G40" s="76">
        <v>2</v>
      </c>
      <c r="H40" s="76">
        <v>497</v>
      </c>
      <c r="I40" s="76">
        <v>54</v>
      </c>
      <c r="J40" s="77">
        <v>24</v>
      </c>
      <c r="K40" s="77">
        <v>8.3000000000000007</v>
      </c>
      <c r="L40" s="76">
        <v>10.199999999999999</v>
      </c>
      <c r="M40" s="76">
        <v>101.5</v>
      </c>
      <c r="N40" s="76"/>
      <c r="O40" s="83">
        <v>57</v>
      </c>
      <c r="P40" s="83">
        <f>IF(C40=0,$P$8*O40,$P$9*O40)</f>
        <v>74.100000000000009</v>
      </c>
      <c r="Q40" s="88">
        <f>IF(D40="Max",O40/21000*110*$R$98,O40/19030*71*$R$98)</f>
        <v>0.38814285714285712</v>
      </c>
      <c r="R40" s="89">
        <f>IF(C40=0,$R$8*Q40,$R$9*Q40)</f>
        <v>0.5045857142857143</v>
      </c>
      <c r="S40" s="88">
        <v>0.47</v>
      </c>
      <c r="T40" s="88">
        <f>IF(C40=0,$T$8*S40,$T$9*S40)</f>
        <v>0.61099999999999999</v>
      </c>
      <c r="U40" s="83">
        <v>37.9</v>
      </c>
      <c r="V40" s="83">
        <f>IF(C40=0,$V$8*U40,$V$9*U40)</f>
        <v>49.27</v>
      </c>
      <c r="W40" s="78"/>
      <c r="X40" s="77">
        <v>45</v>
      </c>
      <c r="Y40" s="77">
        <v>90</v>
      </c>
      <c r="Z40" s="77" t="s">
        <v>607</v>
      </c>
      <c r="AA40" s="77">
        <v>14958</v>
      </c>
      <c r="AB40" s="77">
        <v>15076</v>
      </c>
      <c r="AC40" s="77">
        <v>6904</v>
      </c>
      <c r="AD40" s="77"/>
      <c r="AE40" s="77">
        <v>8272</v>
      </c>
      <c r="AF40" s="77"/>
      <c r="AG40" s="77"/>
      <c r="AH40" s="77"/>
      <c r="AI40" s="77"/>
      <c r="AJ40" s="77">
        <v>6666.7</v>
      </c>
      <c r="AK40" s="77"/>
      <c r="AL40" s="77"/>
      <c r="AM40" s="77">
        <v>1180.5999999999999</v>
      </c>
      <c r="AN40" s="77"/>
      <c r="AO40" s="77"/>
      <c r="AP40" s="77"/>
      <c r="AQ40" s="77"/>
      <c r="AR40" s="77"/>
      <c r="AS40" s="77"/>
      <c r="AT40" s="77">
        <v>1063</v>
      </c>
      <c r="AU40" s="77"/>
      <c r="AV40" s="77">
        <v>793.8</v>
      </c>
      <c r="AW40" s="77">
        <v>786.1</v>
      </c>
      <c r="AX40" s="77"/>
      <c r="AY40" s="77"/>
      <c r="AZ40" s="77">
        <v>65.5</v>
      </c>
      <c r="BA40" s="77"/>
      <c r="BB40" s="77">
        <v>50.2</v>
      </c>
      <c r="BC40" s="77"/>
      <c r="BD40" s="79">
        <v>7</v>
      </c>
      <c r="BE40" s="77">
        <v>6.4</v>
      </c>
    </row>
    <row r="41" spans="1:57" s="31" customFormat="1">
      <c r="A41" s="22"/>
      <c r="B41" s="50" t="s">
        <v>608</v>
      </c>
      <c r="C41" s="76">
        <v>0</v>
      </c>
      <c r="D41" s="76" t="s">
        <v>47</v>
      </c>
      <c r="E41" s="76">
        <v>12</v>
      </c>
      <c r="F41" s="76">
        <v>7</v>
      </c>
      <c r="G41" s="76">
        <v>2</v>
      </c>
      <c r="H41" s="76">
        <v>497</v>
      </c>
      <c r="I41" s="76">
        <v>54</v>
      </c>
      <c r="J41" s="77">
        <v>24</v>
      </c>
      <c r="K41" s="77">
        <v>8.3000000000000007</v>
      </c>
      <c r="L41" s="76">
        <v>10.199999999999999</v>
      </c>
      <c r="M41" s="76">
        <v>99.4</v>
      </c>
      <c r="N41" s="76"/>
      <c r="O41" s="83">
        <v>56</v>
      </c>
      <c r="P41" s="83">
        <f>IF(C41=0,$P$8*O41,$P$9*O41)</f>
        <v>72.8</v>
      </c>
      <c r="Q41" s="88">
        <f>IF(D41="Max",O41/21000*110*$R$98,O41/19030*71*$R$98)</f>
        <v>0.38133333333333336</v>
      </c>
      <c r="R41" s="89">
        <f>IF(C41=0,$R$8*Q41,$R$9*Q41)</f>
        <v>0.49573333333333336</v>
      </c>
      <c r="S41" s="88">
        <v>0.43</v>
      </c>
      <c r="T41" s="88">
        <f>IF(C41=0,$T$8*S41,$T$9*S41)</f>
        <v>0.55900000000000005</v>
      </c>
      <c r="U41" s="83">
        <v>37.200000000000003</v>
      </c>
      <c r="V41" s="83">
        <f>IF(C41=0,$V$8*U41,$V$9*U41)</f>
        <v>48.360000000000007</v>
      </c>
      <c r="W41" s="78"/>
      <c r="X41" s="77">
        <v>45</v>
      </c>
      <c r="Y41" s="77">
        <v>90</v>
      </c>
      <c r="Z41" s="77" t="s">
        <v>607</v>
      </c>
      <c r="AA41" s="77">
        <v>14932</v>
      </c>
      <c r="AB41" s="77">
        <v>15030</v>
      </c>
      <c r="AC41" s="77">
        <v>6783.4</v>
      </c>
      <c r="AD41" s="77"/>
      <c r="AE41" s="77">
        <v>8247</v>
      </c>
      <c r="AF41" s="77"/>
      <c r="AG41" s="77"/>
      <c r="AH41" s="77"/>
      <c r="AI41" s="77"/>
      <c r="AJ41" s="77">
        <v>6666.7</v>
      </c>
      <c r="AK41" s="77"/>
      <c r="AL41" s="77"/>
      <c r="AM41" s="77">
        <v>972</v>
      </c>
      <c r="AN41" s="77"/>
      <c r="AO41" s="77"/>
      <c r="AP41" s="77"/>
      <c r="AQ41" s="77"/>
      <c r="AR41" s="77"/>
      <c r="AS41" s="77"/>
      <c r="AT41" s="77">
        <v>875</v>
      </c>
      <c r="AU41" s="77"/>
      <c r="AV41" s="77">
        <v>809.3</v>
      </c>
      <c r="AW41" s="77">
        <v>801.6</v>
      </c>
      <c r="AX41" s="77"/>
      <c r="AY41" s="77"/>
      <c r="AZ41" s="77">
        <v>55.9</v>
      </c>
      <c r="BA41" s="77"/>
      <c r="BB41" s="77">
        <v>44.9</v>
      </c>
      <c r="BC41" s="77"/>
      <c r="BD41" s="79">
        <v>7</v>
      </c>
      <c r="BE41" s="77">
        <v>5.2</v>
      </c>
    </row>
    <row r="42" spans="1:57" s="31" customFormat="1">
      <c r="A42" s="22"/>
      <c r="B42" s="50" t="s">
        <v>608</v>
      </c>
      <c r="C42" s="76">
        <v>0</v>
      </c>
      <c r="D42" s="76" t="s">
        <v>47</v>
      </c>
      <c r="E42" s="76">
        <v>10</v>
      </c>
      <c r="F42" s="76">
        <v>7</v>
      </c>
      <c r="G42" s="76">
        <v>2</v>
      </c>
      <c r="H42" s="76">
        <v>497</v>
      </c>
      <c r="I42" s="76">
        <v>54</v>
      </c>
      <c r="J42" s="77">
        <v>24</v>
      </c>
      <c r="K42" s="77">
        <v>8.3000000000000007</v>
      </c>
      <c r="L42" s="76">
        <v>10.199999999999999</v>
      </c>
      <c r="M42" s="76">
        <v>101</v>
      </c>
      <c r="N42" s="76"/>
      <c r="O42" s="83">
        <v>56</v>
      </c>
      <c r="P42" s="83">
        <f>IF(C42=0,$P$8*O42,$P$9*O42)</f>
        <v>72.8</v>
      </c>
      <c r="Q42" s="88">
        <f>IF(D42="Max",O42/21000*110*$R$98,O42/19030*71*$R$98)</f>
        <v>0.38133333333333336</v>
      </c>
      <c r="R42" s="89">
        <f>IF(C42=0,$R$8*Q42,$R$9*Q42)</f>
        <v>0.49573333333333336</v>
      </c>
      <c r="S42" s="88">
        <v>0.42</v>
      </c>
      <c r="T42" s="88">
        <f>IF(C42=0,$T$8*S42,$T$9*S42)</f>
        <v>0.54600000000000004</v>
      </c>
      <c r="U42" s="83">
        <v>37.6</v>
      </c>
      <c r="V42" s="83">
        <f>IF(C42=0,$V$8*U42,$V$9*U42)</f>
        <v>48.88</v>
      </c>
      <c r="W42" s="78"/>
      <c r="X42" s="77">
        <v>45</v>
      </c>
      <c r="Y42" s="77">
        <v>90</v>
      </c>
      <c r="Z42" s="77" t="s">
        <v>607</v>
      </c>
      <c r="AA42" s="77">
        <v>14907</v>
      </c>
      <c r="AB42" s="77">
        <v>14983</v>
      </c>
      <c r="AC42" s="77">
        <v>6762.5</v>
      </c>
      <c r="AD42" s="77"/>
      <c r="AE42" s="77">
        <v>8221</v>
      </c>
      <c r="AF42" s="77"/>
      <c r="AG42" s="77"/>
      <c r="AH42" s="77"/>
      <c r="AI42" s="77"/>
      <c r="AJ42" s="77">
        <v>6666.7</v>
      </c>
      <c r="AK42" s="77"/>
      <c r="AL42" s="77"/>
      <c r="AM42" s="77">
        <v>764</v>
      </c>
      <c r="AN42" s="77"/>
      <c r="AO42" s="77"/>
      <c r="AP42" s="77"/>
      <c r="AQ42" s="77"/>
      <c r="AR42" s="77"/>
      <c r="AS42" s="77"/>
      <c r="AT42" s="77">
        <v>688</v>
      </c>
      <c r="AU42" s="77"/>
      <c r="AV42" s="77">
        <v>823.2</v>
      </c>
      <c r="AW42" s="77">
        <v>815.4</v>
      </c>
      <c r="AX42" s="77"/>
      <c r="AY42" s="77"/>
      <c r="AZ42" s="77">
        <v>47.8</v>
      </c>
      <c r="BA42" s="77"/>
      <c r="BB42" s="77">
        <v>39.200000000000003</v>
      </c>
      <c r="BC42" s="77"/>
      <c r="BD42" s="79">
        <v>7</v>
      </c>
      <c r="BE42" s="77">
        <v>4.0999999999999996</v>
      </c>
    </row>
    <row r="43" spans="1:57" s="31" customFormat="1">
      <c r="A43" s="22"/>
      <c r="B43" s="50" t="s">
        <v>608</v>
      </c>
      <c r="C43" s="76">
        <v>0</v>
      </c>
      <c r="D43" s="76" t="s">
        <v>47</v>
      </c>
      <c r="E43" s="76">
        <v>8</v>
      </c>
      <c r="F43" s="76">
        <v>7</v>
      </c>
      <c r="G43" s="76">
        <v>2</v>
      </c>
      <c r="H43" s="76">
        <v>497</v>
      </c>
      <c r="I43" s="76">
        <v>54</v>
      </c>
      <c r="J43" s="77">
        <v>24</v>
      </c>
      <c r="K43" s="77">
        <v>8.3000000000000007</v>
      </c>
      <c r="L43" s="76">
        <v>10.199999999999999</v>
      </c>
      <c r="M43" s="76">
        <v>101</v>
      </c>
      <c r="N43" s="76"/>
      <c r="O43" s="83">
        <v>57</v>
      </c>
      <c r="P43" s="83">
        <f>IF(C43=0,$P$8*O43,$P$9*O43)</f>
        <v>74.100000000000009</v>
      </c>
      <c r="Q43" s="88">
        <f>IF(D43="Max",O43/21000*110*$R$98,O43/19030*71*$R$98)</f>
        <v>0.38814285714285712</v>
      </c>
      <c r="R43" s="89">
        <f>IF(C43=0,$R$8*Q43,$R$9*Q43)</f>
        <v>0.5045857142857143</v>
      </c>
      <c r="S43" s="88">
        <v>0.41</v>
      </c>
      <c r="T43" s="88">
        <f>IF(C43=0,$T$8*S43,$T$9*S43)</f>
        <v>0.53300000000000003</v>
      </c>
      <c r="U43" s="83">
        <v>37.9</v>
      </c>
      <c r="V43" s="83">
        <f>IF(C43=0,$V$8*U43,$V$9*U43)</f>
        <v>49.27</v>
      </c>
      <c r="W43" s="78"/>
      <c r="X43" s="77">
        <v>45</v>
      </c>
      <c r="Y43" s="77">
        <v>90</v>
      </c>
      <c r="Z43" s="77" t="s">
        <v>607</v>
      </c>
      <c r="AA43" s="77">
        <v>14881</v>
      </c>
      <c r="AB43" s="77">
        <v>14937</v>
      </c>
      <c r="AC43" s="77">
        <v>6741.6</v>
      </c>
      <c r="AD43" s="77"/>
      <c r="AE43" s="77">
        <v>8196</v>
      </c>
      <c r="AF43" s="77"/>
      <c r="AG43" s="77"/>
      <c r="AH43" s="77"/>
      <c r="AI43" s="77"/>
      <c r="AJ43" s="77">
        <v>6666.7</v>
      </c>
      <c r="AK43" s="77"/>
      <c r="AL43" s="77"/>
      <c r="AM43" s="77">
        <v>556</v>
      </c>
      <c r="AN43" s="77"/>
      <c r="AO43" s="77"/>
      <c r="AP43" s="77"/>
      <c r="AQ43" s="77"/>
      <c r="AR43" s="77"/>
      <c r="AS43" s="77"/>
      <c r="AT43" s="77">
        <v>500</v>
      </c>
      <c r="AU43" s="77"/>
      <c r="AV43" s="77">
        <v>840.9</v>
      </c>
      <c r="AW43" s="77">
        <v>833</v>
      </c>
      <c r="AX43" s="77"/>
      <c r="AY43" s="77"/>
      <c r="AZ43" s="77">
        <v>39.1</v>
      </c>
      <c r="BA43" s="77"/>
      <c r="BB43" s="77">
        <v>32.700000000000003</v>
      </c>
      <c r="BC43" s="77"/>
      <c r="BD43" s="79">
        <v>7</v>
      </c>
      <c r="BE43" s="77">
        <v>3</v>
      </c>
    </row>
    <row r="44" spans="1:57" s="106" customFormat="1">
      <c r="A44" s="104"/>
      <c r="B44" s="50"/>
      <c r="C44" s="76"/>
      <c r="D44" s="76"/>
      <c r="E44" s="76"/>
      <c r="F44" s="76"/>
      <c r="G44" s="76"/>
      <c r="H44" s="76"/>
      <c r="I44" s="76"/>
      <c r="J44" s="77"/>
      <c r="K44" s="77"/>
      <c r="L44" s="76"/>
      <c r="M44" s="76"/>
      <c r="N44" s="76"/>
      <c r="O44" s="83"/>
      <c r="P44" s="83"/>
      <c r="Q44" s="88"/>
      <c r="R44" s="89"/>
      <c r="S44" s="88"/>
      <c r="T44" s="88"/>
      <c r="U44" s="83"/>
      <c r="V44" s="83"/>
      <c r="W44" s="78"/>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9"/>
      <c r="BE44" s="77"/>
    </row>
    <row r="45" spans="1:57" s="31" customFormat="1">
      <c r="A45" s="22"/>
      <c r="B45" s="50"/>
      <c r="C45" s="76"/>
      <c r="D45" s="76"/>
      <c r="E45" s="76"/>
      <c r="F45" s="76"/>
      <c r="G45" s="76"/>
      <c r="H45" s="76"/>
      <c r="I45" s="76"/>
      <c r="J45" s="77"/>
      <c r="K45" s="77"/>
      <c r="L45" s="76"/>
      <c r="M45" s="76"/>
      <c r="N45" s="76"/>
      <c r="O45" s="83"/>
      <c r="P45" s="83"/>
      <c r="Q45" s="88" t="s">
        <v>46</v>
      </c>
      <c r="R45" s="89"/>
      <c r="S45" s="88"/>
      <c r="T45" s="88"/>
      <c r="U45" s="83"/>
      <c r="V45" s="83"/>
      <c r="W45" s="78"/>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9"/>
      <c r="BE45" s="77"/>
    </row>
    <row r="46" spans="1:57" s="31" customFormat="1">
      <c r="A46" s="22"/>
      <c r="B46" s="32" t="s">
        <v>608</v>
      </c>
      <c r="C46" s="109">
        <v>0</v>
      </c>
      <c r="D46" s="109" t="s">
        <v>65</v>
      </c>
      <c r="E46" s="109">
        <v>18</v>
      </c>
      <c r="F46" s="109">
        <v>7</v>
      </c>
      <c r="G46" s="109">
        <v>2</v>
      </c>
      <c r="H46" s="109">
        <v>497</v>
      </c>
      <c r="I46" s="109">
        <v>54</v>
      </c>
      <c r="J46" s="110">
        <v>24</v>
      </c>
      <c r="K46" s="110">
        <v>8</v>
      </c>
      <c r="L46" s="109">
        <v>10.5</v>
      </c>
      <c r="M46" s="109">
        <v>65</v>
      </c>
      <c r="N46" s="109"/>
      <c r="O46" s="111">
        <v>36.4</v>
      </c>
      <c r="P46" s="111">
        <f t="shared" ref="P46:P55" si="10">IF(C46=0,$P$8*O46,$P$9*O46)</f>
        <v>47.32</v>
      </c>
      <c r="Q46" s="112">
        <f t="shared" ref="Q46:Q54" si="11">IF(D46="Max",O46/21000*110*$R$98,O46/19030*71*$R$98)</f>
        <v>0.17654860746190226</v>
      </c>
      <c r="R46" s="113">
        <f t="shared" ref="R46:R51" si="12">IF(C46=0,$R$8*Q46,$R$9*Q46)</f>
        <v>0.22951318970047294</v>
      </c>
      <c r="S46" s="113">
        <v>0.38</v>
      </c>
      <c r="T46" s="114">
        <f t="shared" ref="T46:T55" si="13">IF(C46=0,$T$8*S46,$T$9*S46)</f>
        <v>0.49400000000000005</v>
      </c>
      <c r="U46" s="111">
        <v>24.3</v>
      </c>
      <c r="V46" s="111">
        <f t="shared" ref="V46:V55" si="14">IF(C46=0,$V$8*U46,$V$9*U46)</f>
        <v>31.590000000000003</v>
      </c>
      <c r="W46" s="115"/>
      <c r="X46" s="110">
        <v>45</v>
      </c>
      <c r="Y46" s="110">
        <v>90</v>
      </c>
      <c r="Z46" s="110" t="s">
        <v>607</v>
      </c>
      <c r="AA46" s="110">
        <v>15102</v>
      </c>
      <c r="AB46" s="110">
        <v>15338</v>
      </c>
      <c r="AC46" s="110">
        <v>6922.7</v>
      </c>
      <c r="AD46" s="110"/>
      <c r="AE46" s="110">
        <v>8416</v>
      </c>
      <c r="AF46" s="110"/>
      <c r="AG46" s="110"/>
      <c r="AH46" s="110"/>
      <c r="AI46" s="110"/>
      <c r="AJ46" s="110">
        <v>6666.7</v>
      </c>
      <c r="AK46" s="110"/>
      <c r="AL46" s="110"/>
      <c r="AM46" s="110">
        <v>2361</v>
      </c>
      <c r="AN46" s="110"/>
      <c r="AO46" s="110"/>
      <c r="AP46" s="110"/>
      <c r="AQ46" s="110"/>
      <c r="AR46" s="110"/>
      <c r="AS46" s="110"/>
      <c r="AT46" s="110">
        <v>2125</v>
      </c>
      <c r="AU46" s="110"/>
      <c r="AV46" s="116">
        <v>711</v>
      </c>
      <c r="AW46" s="110">
        <v>703</v>
      </c>
      <c r="AX46" s="110"/>
      <c r="AY46" s="110"/>
      <c r="AZ46" s="110">
        <v>102</v>
      </c>
      <c r="BA46" s="110"/>
      <c r="BB46" s="110">
        <v>68</v>
      </c>
      <c r="BC46" s="110"/>
      <c r="BD46" s="73">
        <v>7.1</v>
      </c>
      <c r="BE46" s="110">
        <v>12.7</v>
      </c>
    </row>
    <row r="47" spans="1:57" s="106" customFormat="1">
      <c r="A47" s="104"/>
      <c r="B47" s="50" t="s">
        <v>608</v>
      </c>
      <c r="C47" s="76">
        <v>0</v>
      </c>
      <c r="D47" s="76" t="s">
        <v>65</v>
      </c>
      <c r="E47" s="76">
        <v>18</v>
      </c>
      <c r="F47" s="76">
        <v>7</v>
      </c>
      <c r="G47" s="76">
        <v>2</v>
      </c>
      <c r="H47" s="76">
        <v>497</v>
      </c>
      <c r="I47" s="76">
        <v>54</v>
      </c>
      <c r="J47" s="77">
        <v>24</v>
      </c>
      <c r="K47" s="77">
        <v>8</v>
      </c>
      <c r="L47" s="76">
        <v>10.5</v>
      </c>
      <c r="M47" s="76">
        <v>94.8</v>
      </c>
      <c r="N47" s="76"/>
      <c r="O47" s="83">
        <v>53.6</v>
      </c>
      <c r="P47" s="83">
        <f t="shared" si="10"/>
        <v>69.680000000000007</v>
      </c>
      <c r="Q47" s="88">
        <f t="shared" si="11"/>
        <v>0.25997267472411983</v>
      </c>
      <c r="R47" s="88">
        <f t="shared" si="12"/>
        <v>0.3379644771413558</v>
      </c>
      <c r="S47" s="88">
        <v>0.53</v>
      </c>
      <c r="T47" s="89">
        <f t="shared" si="13"/>
        <v>0.68900000000000006</v>
      </c>
      <c r="U47" s="83">
        <v>35.6</v>
      </c>
      <c r="V47" s="83">
        <f t="shared" si="14"/>
        <v>46.28</v>
      </c>
      <c r="W47" s="78"/>
      <c r="X47" s="77">
        <v>56</v>
      </c>
      <c r="Y47" s="77">
        <v>90</v>
      </c>
      <c r="Z47" s="77" t="s">
        <v>607</v>
      </c>
      <c r="AA47" s="77">
        <v>14983</v>
      </c>
      <c r="AB47" s="77">
        <v>15122</v>
      </c>
      <c r="AC47" s="77">
        <v>6825.2</v>
      </c>
      <c r="AD47" s="77"/>
      <c r="AE47" s="77">
        <v>8297.5</v>
      </c>
      <c r="AF47" s="77"/>
      <c r="AG47" s="77"/>
      <c r="AH47" s="77"/>
      <c r="AI47" s="77"/>
      <c r="AJ47" s="77">
        <v>6666.7</v>
      </c>
      <c r="AK47" s="77"/>
      <c r="AL47" s="77"/>
      <c r="AM47" s="77">
        <v>1388.9</v>
      </c>
      <c r="AN47" s="77"/>
      <c r="AO47" s="77"/>
      <c r="AP47" s="77"/>
      <c r="AQ47" s="77"/>
      <c r="AR47" s="77"/>
      <c r="AS47" s="77"/>
      <c r="AT47" s="77">
        <v>1250</v>
      </c>
      <c r="AU47" s="77"/>
      <c r="AV47" s="108">
        <v>712.9</v>
      </c>
      <c r="AW47" s="77">
        <v>705.2</v>
      </c>
      <c r="AX47" s="77"/>
      <c r="AY47" s="77"/>
      <c r="AZ47" s="77">
        <v>67.5</v>
      </c>
      <c r="BA47" s="77"/>
      <c r="BB47" s="77">
        <v>51.4</v>
      </c>
      <c r="BC47" s="77"/>
      <c r="BD47" s="79">
        <v>7</v>
      </c>
      <c r="BE47" s="77">
        <v>7.5</v>
      </c>
    </row>
    <row r="48" spans="1:57" s="31" customFormat="1">
      <c r="A48" s="22"/>
      <c r="B48" s="32" t="s">
        <v>608</v>
      </c>
      <c r="C48" s="109">
        <v>0</v>
      </c>
      <c r="D48" s="109" t="s">
        <v>65</v>
      </c>
      <c r="E48" s="109">
        <v>15</v>
      </c>
      <c r="F48" s="109">
        <v>7</v>
      </c>
      <c r="G48" s="109">
        <v>2</v>
      </c>
      <c r="H48" s="109">
        <v>497</v>
      </c>
      <c r="I48" s="109">
        <v>54</v>
      </c>
      <c r="J48" s="110">
        <v>24</v>
      </c>
      <c r="K48" s="110">
        <v>8</v>
      </c>
      <c r="L48" s="109">
        <v>10.5</v>
      </c>
      <c r="M48" s="109">
        <v>69</v>
      </c>
      <c r="N48" s="109"/>
      <c r="O48" s="111">
        <v>39</v>
      </c>
      <c r="P48" s="111">
        <f t="shared" si="10"/>
        <v>50.7</v>
      </c>
      <c r="Q48" s="113">
        <f t="shared" si="11"/>
        <v>0.18915922228060955</v>
      </c>
      <c r="R48" s="113">
        <f t="shared" si="12"/>
        <v>0.24590698896479243</v>
      </c>
      <c r="S48" s="113">
        <v>0.38</v>
      </c>
      <c r="T48" s="114">
        <f t="shared" si="13"/>
        <v>0.49400000000000005</v>
      </c>
      <c r="U48" s="111">
        <v>26</v>
      </c>
      <c r="V48" s="111">
        <f t="shared" si="14"/>
        <v>33.800000000000004</v>
      </c>
      <c r="W48" s="115"/>
      <c r="X48" s="110">
        <v>45</v>
      </c>
      <c r="Y48" s="110">
        <v>90</v>
      </c>
      <c r="Z48" s="110" t="s">
        <v>607</v>
      </c>
      <c r="AA48" s="110">
        <v>15051</v>
      </c>
      <c r="AB48" s="110">
        <v>15246</v>
      </c>
      <c r="AC48" s="110">
        <v>6880.9</v>
      </c>
      <c r="AD48" s="110"/>
      <c r="AE48" s="110">
        <v>8365.2000000000007</v>
      </c>
      <c r="AF48" s="110"/>
      <c r="AG48" s="110"/>
      <c r="AH48" s="110"/>
      <c r="AI48" s="110"/>
      <c r="AJ48" s="110">
        <v>6666.7</v>
      </c>
      <c r="AK48" s="110"/>
      <c r="AL48" s="110"/>
      <c r="AM48" s="110">
        <v>1944</v>
      </c>
      <c r="AN48" s="110"/>
      <c r="AO48" s="110"/>
      <c r="AP48" s="110"/>
      <c r="AQ48" s="110"/>
      <c r="AR48" s="110"/>
      <c r="AS48" s="110"/>
      <c r="AT48" s="110">
        <v>1750</v>
      </c>
      <c r="AU48" s="110"/>
      <c r="AV48" s="110">
        <v>721.8</v>
      </c>
      <c r="AW48" s="110">
        <v>713.9</v>
      </c>
      <c r="AX48" s="110"/>
      <c r="AY48" s="110"/>
      <c r="AZ48" s="110">
        <v>90.4</v>
      </c>
      <c r="BA48" s="110"/>
      <c r="BB48" s="110">
        <v>63.1</v>
      </c>
      <c r="BC48" s="110"/>
      <c r="BD48" s="73">
        <v>7.1</v>
      </c>
      <c r="BE48" s="110">
        <v>10.5</v>
      </c>
    </row>
    <row r="49" spans="1:57" s="106" customFormat="1">
      <c r="A49" s="104"/>
      <c r="B49" s="50" t="s">
        <v>608</v>
      </c>
      <c r="C49" s="76">
        <v>0</v>
      </c>
      <c r="D49" s="76" t="s">
        <v>65</v>
      </c>
      <c r="E49" s="76">
        <v>15</v>
      </c>
      <c r="F49" s="76">
        <v>7</v>
      </c>
      <c r="G49" s="76">
        <v>2</v>
      </c>
      <c r="H49" s="76">
        <v>497</v>
      </c>
      <c r="I49" s="76">
        <v>54</v>
      </c>
      <c r="J49" s="77">
        <v>24</v>
      </c>
      <c r="K49" s="77">
        <v>8</v>
      </c>
      <c r="L49" s="76">
        <v>10.5</v>
      </c>
      <c r="M49" s="76">
        <v>102.4</v>
      </c>
      <c r="N49" s="76"/>
      <c r="O49" s="83">
        <v>57.8</v>
      </c>
      <c r="P49" s="83">
        <f t="shared" si="10"/>
        <v>75.14</v>
      </c>
      <c r="Q49" s="88">
        <f t="shared" si="11"/>
        <v>0.28034366789280085</v>
      </c>
      <c r="R49" s="88">
        <f t="shared" si="12"/>
        <v>0.3644467682606411</v>
      </c>
      <c r="S49" s="88">
        <v>0.53</v>
      </c>
      <c r="T49" s="89">
        <f t="shared" si="13"/>
        <v>0.68900000000000006</v>
      </c>
      <c r="U49" s="83">
        <v>38.5</v>
      </c>
      <c r="V49" s="83">
        <f t="shared" si="14"/>
        <v>50.050000000000004</v>
      </c>
      <c r="W49" s="78"/>
      <c r="X49" s="77">
        <v>45</v>
      </c>
      <c r="Y49" s="77">
        <v>90</v>
      </c>
      <c r="Z49" s="77" t="s">
        <v>607</v>
      </c>
      <c r="AA49" s="77">
        <v>14932</v>
      </c>
      <c r="AB49" s="77">
        <v>15030</v>
      </c>
      <c r="AC49" s="77">
        <v>6783.4</v>
      </c>
      <c r="AD49" s="77"/>
      <c r="AE49" s="77">
        <v>8246.7000000000007</v>
      </c>
      <c r="AF49" s="77"/>
      <c r="AG49" s="77"/>
      <c r="AH49" s="77"/>
      <c r="AI49" s="77"/>
      <c r="AJ49" s="77">
        <v>6666.7</v>
      </c>
      <c r="AK49" s="77"/>
      <c r="AL49" s="77"/>
      <c r="AM49" s="77">
        <v>972.2</v>
      </c>
      <c r="AN49" s="77"/>
      <c r="AO49" s="77"/>
      <c r="AP49" s="77"/>
      <c r="AQ49" s="77"/>
      <c r="AR49" s="77"/>
      <c r="AS49" s="77"/>
      <c r="AT49" s="77">
        <v>875</v>
      </c>
      <c r="AU49" s="77"/>
      <c r="AV49" s="77">
        <v>723.3</v>
      </c>
      <c r="AW49" s="77">
        <v>715.6</v>
      </c>
      <c r="AX49" s="77"/>
      <c r="AY49" s="77"/>
      <c r="AZ49" s="77">
        <v>54</v>
      </c>
      <c r="BA49" s="77"/>
      <c r="BB49" s="77">
        <v>43.5</v>
      </c>
      <c r="BC49" s="77"/>
      <c r="BD49" s="79">
        <v>7</v>
      </c>
      <c r="BE49" s="77">
        <v>5.2</v>
      </c>
    </row>
    <row r="50" spans="1:57" s="106" customFormat="1">
      <c r="A50" s="104"/>
      <c r="B50" s="50" t="s">
        <v>608</v>
      </c>
      <c r="C50" s="76">
        <v>0</v>
      </c>
      <c r="D50" s="76" t="s">
        <v>65</v>
      </c>
      <c r="E50" s="76">
        <v>13</v>
      </c>
      <c r="F50" s="76">
        <v>7</v>
      </c>
      <c r="G50" s="76">
        <v>2</v>
      </c>
      <c r="H50" s="76">
        <v>497</v>
      </c>
      <c r="I50" s="76">
        <v>54</v>
      </c>
      <c r="J50" s="77">
        <v>24</v>
      </c>
      <c r="K50" s="77">
        <v>8</v>
      </c>
      <c r="L50" s="76">
        <v>10.5</v>
      </c>
      <c r="M50" s="76">
        <v>103.6</v>
      </c>
      <c r="N50" s="76"/>
      <c r="O50" s="83">
        <v>58.5</v>
      </c>
      <c r="P50" s="83">
        <f t="shared" si="10"/>
        <v>76.05</v>
      </c>
      <c r="Q50" s="88">
        <f t="shared" si="11"/>
        <v>0.28373883342091438</v>
      </c>
      <c r="R50" s="88">
        <f t="shared" si="12"/>
        <v>0.36886048344718869</v>
      </c>
      <c r="S50" s="88">
        <v>0.52</v>
      </c>
      <c r="T50" s="89">
        <f t="shared" si="13"/>
        <v>0.67600000000000005</v>
      </c>
      <c r="U50" s="83">
        <v>39</v>
      </c>
      <c r="V50" s="83">
        <f t="shared" si="14"/>
        <v>50.7</v>
      </c>
      <c r="W50" s="78"/>
      <c r="X50" s="77">
        <v>45</v>
      </c>
      <c r="Y50" s="77">
        <v>90</v>
      </c>
      <c r="Z50" s="77" t="s">
        <v>607</v>
      </c>
      <c r="AA50" s="77">
        <v>14907</v>
      </c>
      <c r="AB50" s="77">
        <v>14983</v>
      </c>
      <c r="AC50" s="77">
        <v>6762.5</v>
      </c>
      <c r="AD50" s="77"/>
      <c r="AE50" s="77">
        <v>8221.4</v>
      </c>
      <c r="AF50" s="77"/>
      <c r="AG50" s="77"/>
      <c r="AH50" s="77"/>
      <c r="AI50" s="77"/>
      <c r="AJ50" s="77">
        <v>6666.7</v>
      </c>
      <c r="AK50" s="77"/>
      <c r="AL50" s="77"/>
      <c r="AM50" s="77">
        <v>763.9</v>
      </c>
      <c r="AN50" s="77"/>
      <c r="AO50" s="77"/>
      <c r="AP50" s="77"/>
      <c r="AQ50" s="77"/>
      <c r="AR50" s="77"/>
      <c r="AS50" s="77"/>
      <c r="AT50" s="77">
        <v>687.5</v>
      </c>
      <c r="AU50" s="77"/>
      <c r="AV50" s="77">
        <v>732.8</v>
      </c>
      <c r="AW50" s="77">
        <v>725</v>
      </c>
      <c r="AX50" s="77"/>
      <c r="AY50" s="77"/>
      <c r="AZ50" s="77">
        <v>46.7</v>
      </c>
      <c r="BA50" s="77"/>
      <c r="BB50" s="77">
        <v>38.5</v>
      </c>
      <c r="BC50" s="77"/>
      <c r="BD50" s="79">
        <v>7</v>
      </c>
      <c r="BE50" s="77">
        <v>4.0999999999999996</v>
      </c>
    </row>
    <row r="51" spans="1:57" s="106" customFormat="1">
      <c r="A51" s="104"/>
      <c r="B51" s="50" t="s">
        <v>608</v>
      </c>
      <c r="C51" s="76">
        <v>0</v>
      </c>
      <c r="D51" s="76" t="s">
        <v>65</v>
      </c>
      <c r="E51" s="76">
        <v>13</v>
      </c>
      <c r="F51" s="76">
        <v>7</v>
      </c>
      <c r="G51" s="76">
        <v>1</v>
      </c>
      <c r="H51" s="76">
        <v>497</v>
      </c>
      <c r="I51" s="76">
        <v>27</v>
      </c>
      <c r="J51" s="77">
        <v>12</v>
      </c>
      <c r="K51" s="77">
        <v>8</v>
      </c>
      <c r="L51" s="76">
        <v>10.5</v>
      </c>
      <c r="M51" s="76">
        <v>109</v>
      </c>
      <c r="N51" s="76"/>
      <c r="O51" s="83">
        <v>61.5</v>
      </c>
      <c r="P51" s="83">
        <f t="shared" si="10"/>
        <v>79.95</v>
      </c>
      <c r="Q51" s="88">
        <f t="shared" si="11"/>
        <v>0.29828954282711512</v>
      </c>
      <c r="R51" s="88">
        <f t="shared" si="12"/>
        <v>0.38777640567524968</v>
      </c>
      <c r="S51" s="88">
        <v>0.53</v>
      </c>
      <c r="T51" s="89">
        <f t="shared" si="13"/>
        <v>0.68900000000000006</v>
      </c>
      <c r="U51" s="83">
        <v>41.1</v>
      </c>
      <c r="V51" s="83">
        <f t="shared" si="14"/>
        <v>53.430000000000007</v>
      </c>
      <c r="W51" s="78"/>
      <c r="X51" s="77">
        <v>45</v>
      </c>
      <c r="Y51" s="77">
        <v>90</v>
      </c>
      <c r="Z51" s="84" t="s">
        <v>630</v>
      </c>
      <c r="AA51" s="77">
        <v>14886</v>
      </c>
      <c r="AB51" s="77">
        <v>14945</v>
      </c>
      <c r="AC51" s="77">
        <v>6745.1</v>
      </c>
      <c r="AD51" s="77"/>
      <c r="AE51" s="77">
        <v>8200.1</v>
      </c>
      <c r="AF51" s="77"/>
      <c r="AG51" s="77"/>
      <c r="AH51" s="77"/>
      <c r="AI51" s="77"/>
      <c r="AJ51" s="77">
        <v>6666.7</v>
      </c>
      <c r="AK51" s="77"/>
      <c r="AL51" s="77"/>
      <c r="AM51" s="77">
        <v>590.29999999999995</v>
      </c>
      <c r="AN51" s="77"/>
      <c r="AO51" s="77"/>
      <c r="AP51" s="77"/>
      <c r="AQ51" s="77"/>
      <c r="AR51" s="77"/>
      <c r="AS51" s="77"/>
      <c r="AT51" s="77">
        <v>531.29999999999995</v>
      </c>
      <c r="AU51" s="77"/>
      <c r="AV51" s="77">
        <v>733</v>
      </c>
      <c r="AW51" s="77">
        <v>725.3</v>
      </c>
      <c r="AX51" s="77"/>
      <c r="AY51" s="77"/>
      <c r="AZ51" s="77">
        <v>64.3</v>
      </c>
      <c r="BA51" s="77"/>
      <c r="BB51" s="77">
        <v>50.4</v>
      </c>
      <c r="BC51" s="77"/>
      <c r="BD51" s="79">
        <v>7</v>
      </c>
      <c r="BE51" s="77">
        <v>6.4</v>
      </c>
    </row>
    <row r="52" spans="1:57" s="31" customFormat="1">
      <c r="A52" s="22"/>
      <c r="B52" s="50" t="s">
        <v>608</v>
      </c>
      <c r="C52" s="76">
        <v>0</v>
      </c>
      <c r="D52" s="76" t="s">
        <v>65</v>
      </c>
      <c r="E52" s="76">
        <v>12</v>
      </c>
      <c r="F52" s="76">
        <v>7</v>
      </c>
      <c r="G52" s="76">
        <v>2</v>
      </c>
      <c r="H52" s="76">
        <v>497</v>
      </c>
      <c r="I52" s="76">
        <v>54</v>
      </c>
      <c r="J52" s="76">
        <v>24</v>
      </c>
      <c r="K52" s="76">
        <v>8</v>
      </c>
      <c r="L52" s="76">
        <v>10.5</v>
      </c>
      <c r="M52" s="76">
        <v>72</v>
      </c>
      <c r="N52" s="76" t="s">
        <v>46</v>
      </c>
      <c r="O52" s="83">
        <v>40.5</v>
      </c>
      <c r="P52" s="83">
        <f t="shared" si="10"/>
        <v>52.65</v>
      </c>
      <c r="Q52" s="88">
        <f t="shared" si="11"/>
        <v>0.19643457698370995</v>
      </c>
      <c r="R52" s="88">
        <f t="shared" ref="R52:R54" si="15">IF(C52=0,$R$8*Q52,$R$9*Q52)</f>
        <v>0.25536495007882293</v>
      </c>
      <c r="S52" s="88">
        <v>0.37</v>
      </c>
      <c r="T52" s="88">
        <f t="shared" si="13"/>
        <v>0.48099999999999998</v>
      </c>
      <c r="U52" s="83">
        <v>27</v>
      </c>
      <c r="V52" s="85">
        <f t="shared" si="14"/>
        <v>35.1</v>
      </c>
      <c r="W52" s="76" t="s">
        <v>46</v>
      </c>
      <c r="X52" s="76">
        <v>45</v>
      </c>
      <c r="Y52" s="76">
        <v>90</v>
      </c>
      <c r="Z52" s="76" t="s">
        <v>607</v>
      </c>
      <c r="AA52" s="83">
        <v>15005</v>
      </c>
      <c r="AB52" s="83">
        <v>15161</v>
      </c>
      <c r="AC52" s="83">
        <v>6843</v>
      </c>
      <c r="AD52" s="83" t="e">
        <f>#REF!</f>
        <v>#REF!</v>
      </c>
      <c r="AE52" s="83">
        <v>8319</v>
      </c>
      <c r="AF52" s="83" t="e">
        <f>#REF!</f>
        <v>#REF!</v>
      </c>
      <c r="AG52" s="83" t="e">
        <f>#REF!</f>
        <v>#REF!</v>
      </c>
      <c r="AH52" s="83" t="e">
        <f>#REF!</f>
        <v>#REF!</v>
      </c>
      <c r="AI52" s="83" t="e">
        <f>#REF!</f>
        <v>#REF!</v>
      </c>
      <c r="AJ52" s="83">
        <v>6667.1</v>
      </c>
      <c r="AK52" s="83" t="e">
        <f>#REF!</f>
        <v>#REF!</v>
      </c>
      <c r="AL52" s="83" t="e">
        <f>#REF!</f>
        <v>#REF!</v>
      </c>
      <c r="AM52" s="83">
        <v>1559</v>
      </c>
      <c r="AN52" s="83" t="e">
        <f>#REF!</f>
        <v>#REF!</v>
      </c>
      <c r="AO52" s="83" t="e">
        <f>#REF!</f>
        <v>#REF!</v>
      </c>
      <c r="AP52" s="83" t="e">
        <f>#REF!</f>
        <v>#REF!</v>
      </c>
      <c r="AQ52" s="83" t="e">
        <f>#REF!</f>
        <v>#REF!</v>
      </c>
      <c r="AR52" s="83" t="e">
        <f>#REF!</f>
        <v>#REF!</v>
      </c>
      <c r="AS52" s="83" t="e">
        <f>#REF!</f>
        <v>#REF!</v>
      </c>
      <c r="AT52" s="83">
        <v>1403</v>
      </c>
      <c r="AU52" s="83" t="e">
        <f>#REF!</f>
        <v>#REF!</v>
      </c>
      <c r="AV52" s="83">
        <v>737.6</v>
      </c>
      <c r="AW52" s="83">
        <v>729.7</v>
      </c>
      <c r="AX52" s="83" t="e">
        <f>#REF!</f>
        <v>#REF!</v>
      </c>
      <c r="AY52" s="83" t="e">
        <f>#REF!</f>
        <v>#REF!</v>
      </c>
      <c r="AZ52" s="83">
        <v>78.400000000000006</v>
      </c>
      <c r="BA52" s="83" t="e">
        <f>#REF!</f>
        <v>#REF!</v>
      </c>
      <c r="BB52" s="83">
        <v>57</v>
      </c>
      <c r="BC52" s="83" t="e">
        <f>#REF!</f>
        <v>#REF!</v>
      </c>
      <c r="BD52" s="83">
        <v>7.1</v>
      </c>
      <c r="BE52" s="83">
        <v>8.4</v>
      </c>
    </row>
    <row r="53" spans="1:57" s="31" customFormat="1">
      <c r="A53" s="22"/>
      <c r="B53" s="50" t="s">
        <v>608</v>
      </c>
      <c r="C53" s="76">
        <v>0</v>
      </c>
      <c r="D53" s="76" t="s">
        <v>65</v>
      </c>
      <c r="E53" s="76">
        <v>10</v>
      </c>
      <c r="F53" s="76">
        <v>7</v>
      </c>
      <c r="G53" s="76">
        <v>2</v>
      </c>
      <c r="H53" s="76">
        <v>497</v>
      </c>
      <c r="I53" s="76">
        <v>54</v>
      </c>
      <c r="J53" s="76">
        <v>24</v>
      </c>
      <c r="K53" s="76">
        <v>8</v>
      </c>
      <c r="L53" s="76">
        <v>10.5</v>
      </c>
      <c r="M53" s="76">
        <v>72</v>
      </c>
      <c r="N53" s="76"/>
      <c r="O53" s="83">
        <v>40.5</v>
      </c>
      <c r="P53" s="83">
        <f t="shared" si="10"/>
        <v>52.65</v>
      </c>
      <c r="Q53" s="88">
        <f t="shared" si="11"/>
        <v>0.19643457698370995</v>
      </c>
      <c r="R53" s="88">
        <f t="shared" si="15"/>
        <v>0.25536495007882293</v>
      </c>
      <c r="S53" s="88">
        <v>0.36</v>
      </c>
      <c r="T53" s="88">
        <f t="shared" si="13"/>
        <v>0.46799999999999997</v>
      </c>
      <c r="U53" s="83">
        <v>27</v>
      </c>
      <c r="V53" s="85">
        <f t="shared" si="14"/>
        <v>35.1</v>
      </c>
      <c r="W53" s="76"/>
      <c r="X53" s="76">
        <v>45</v>
      </c>
      <c r="Y53" s="76">
        <v>90</v>
      </c>
      <c r="Z53" s="76" t="s">
        <v>607</v>
      </c>
      <c r="AA53" s="83">
        <v>14983</v>
      </c>
      <c r="AB53" s="83">
        <v>15122</v>
      </c>
      <c r="AC53" s="83">
        <v>6825</v>
      </c>
      <c r="AD53" s="83"/>
      <c r="AE53" s="83">
        <v>8298</v>
      </c>
      <c r="AF53" s="83"/>
      <c r="AG53" s="83"/>
      <c r="AH53" s="83"/>
      <c r="AI53" s="83"/>
      <c r="AJ53" s="83">
        <v>6666.7</v>
      </c>
      <c r="AK53" s="83"/>
      <c r="AL53" s="83"/>
      <c r="AM53" s="83">
        <v>1389</v>
      </c>
      <c r="AN53" s="83"/>
      <c r="AO53" s="83"/>
      <c r="AP53" s="83"/>
      <c r="AQ53" s="83"/>
      <c r="AR53" s="83"/>
      <c r="AS53" s="83"/>
      <c r="AT53" s="83">
        <v>1250</v>
      </c>
      <c r="AU53" s="83"/>
      <c r="AV53" s="83">
        <v>751.6</v>
      </c>
      <c r="AW53" s="83">
        <v>743.6</v>
      </c>
      <c r="AX53" s="83"/>
      <c r="AY53" s="83"/>
      <c r="AZ53" s="83">
        <v>73.2</v>
      </c>
      <c r="BA53" s="83"/>
      <c r="BB53" s="83">
        <v>54.7</v>
      </c>
      <c r="BC53" s="83"/>
      <c r="BD53" s="83">
        <v>7</v>
      </c>
      <c r="BE53" s="83">
        <v>7.5</v>
      </c>
    </row>
    <row r="54" spans="1:57" s="31" customFormat="1">
      <c r="A54" s="22"/>
      <c r="B54" s="50" t="s">
        <v>608</v>
      </c>
      <c r="C54" s="76">
        <v>0</v>
      </c>
      <c r="D54" s="76" t="s">
        <v>65</v>
      </c>
      <c r="E54" s="76">
        <v>8</v>
      </c>
      <c r="F54" s="76">
        <v>7</v>
      </c>
      <c r="G54" s="76">
        <v>2</v>
      </c>
      <c r="H54" s="76">
        <v>497</v>
      </c>
      <c r="I54" s="76">
        <v>54</v>
      </c>
      <c r="J54" s="77">
        <v>24</v>
      </c>
      <c r="K54" s="77">
        <v>8</v>
      </c>
      <c r="L54" s="76">
        <v>10.5</v>
      </c>
      <c r="M54" s="76">
        <v>72</v>
      </c>
      <c r="N54" s="76"/>
      <c r="O54" s="83">
        <v>40.5</v>
      </c>
      <c r="P54" s="83">
        <f t="shared" si="10"/>
        <v>52.65</v>
      </c>
      <c r="Q54" s="88">
        <f t="shared" si="11"/>
        <v>0.19643457698370995</v>
      </c>
      <c r="R54" s="88">
        <f t="shared" si="15"/>
        <v>0.25536495007882293</v>
      </c>
      <c r="S54" s="88">
        <v>0.35</v>
      </c>
      <c r="T54" s="91">
        <f t="shared" si="13"/>
        <v>0.45499999999999996</v>
      </c>
      <c r="U54" s="83">
        <v>27</v>
      </c>
      <c r="V54" s="85">
        <f t="shared" si="14"/>
        <v>35.1</v>
      </c>
      <c r="W54" s="78"/>
      <c r="X54" s="77">
        <v>45</v>
      </c>
      <c r="Y54" s="77">
        <v>90</v>
      </c>
      <c r="Z54" s="77" t="s">
        <v>607</v>
      </c>
      <c r="AA54" s="77">
        <v>14958</v>
      </c>
      <c r="AB54" s="77">
        <v>15076</v>
      </c>
      <c r="AC54" s="77">
        <v>6804</v>
      </c>
      <c r="AD54" s="77"/>
      <c r="AE54" s="77">
        <v>8272</v>
      </c>
      <c r="AF54" s="77"/>
      <c r="AG54" s="77"/>
      <c r="AH54" s="77"/>
      <c r="AI54" s="77"/>
      <c r="AJ54" s="77">
        <v>6666.7</v>
      </c>
      <c r="AK54" s="77"/>
      <c r="AL54" s="77"/>
      <c r="AM54" s="77">
        <v>1180.5999999999999</v>
      </c>
      <c r="AN54" s="77"/>
      <c r="AO54" s="77"/>
      <c r="AP54" s="77"/>
      <c r="AQ54" s="77"/>
      <c r="AR54" s="77"/>
      <c r="AS54" s="77"/>
      <c r="AT54" s="77">
        <v>1063</v>
      </c>
      <c r="AU54" s="77"/>
      <c r="AV54" s="77">
        <v>769.2</v>
      </c>
      <c r="AW54" s="77">
        <v>761.2</v>
      </c>
      <c r="AX54" s="77"/>
      <c r="AY54" s="77"/>
      <c r="AZ54" s="77">
        <v>66</v>
      </c>
      <c r="BA54" s="77"/>
      <c r="BB54" s="77">
        <v>50</v>
      </c>
      <c r="BC54" s="77"/>
      <c r="BD54" s="79">
        <v>7</v>
      </c>
      <c r="BE54" s="77">
        <v>6.4</v>
      </c>
    </row>
    <row r="55" spans="1:57" s="31" customFormat="1">
      <c r="A55" s="22"/>
      <c r="B55" s="50"/>
      <c r="C55" s="76"/>
      <c r="D55" s="76"/>
      <c r="E55" s="76"/>
      <c r="F55" s="76"/>
      <c r="G55" s="76"/>
      <c r="H55" s="76"/>
      <c r="I55" s="76"/>
      <c r="J55" s="77"/>
      <c r="K55" s="77"/>
      <c r="L55" s="76"/>
      <c r="M55" s="76"/>
      <c r="N55" s="76"/>
      <c r="O55" s="83"/>
      <c r="P55" s="83">
        <f t="shared" si="10"/>
        <v>0</v>
      </c>
      <c r="Q55" s="88" t="s">
        <v>46</v>
      </c>
      <c r="R55" s="88" t="s">
        <v>46</v>
      </c>
      <c r="S55" s="88"/>
      <c r="T55" s="91">
        <f t="shared" si="13"/>
        <v>0</v>
      </c>
      <c r="U55" s="83"/>
      <c r="V55" s="83">
        <f t="shared" si="14"/>
        <v>0</v>
      </c>
      <c r="W55" s="78"/>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9"/>
      <c r="BE55" s="77"/>
    </row>
    <row r="56" spans="1:57" s="106" customFormat="1">
      <c r="A56" s="104"/>
      <c r="B56" s="50"/>
      <c r="C56" s="76"/>
      <c r="D56" s="76"/>
      <c r="E56" s="76"/>
      <c r="F56" s="76"/>
      <c r="G56" s="76"/>
      <c r="H56" s="76"/>
      <c r="I56" s="76"/>
      <c r="J56" s="77"/>
      <c r="K56" s="77"/>
      <c r="L56" s="76"/>
      <c r="M56" s="76"/>
      <c r="N56" s="76"/>
      <c r="O56" s="83"/>
      <c r="P56" s="83"/>
      <c r="Q56" s="88" t="s">
        <v>46</v>
      </c>
      <c r="R56" s="88"/>
      <c r="S56" s="88"/>
      <c r="T56" s="91"/>
      <c r="U56" s="83"/>
      <c r="V56" s="83"/>
      <c r="W56" s="78"/>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9"/>
      <c r="BE56" s="77"/>
    </row>
    <row r="57" spans="1:57" s="31" customFormat="1">
      <c r="A57" s="151"/>
      <c r="B57" s="32" t="s">
        <v>608</v>
      </c>
      <c r="C57" s="109">
        <v>0</v>
      </c>
      <c r="D57" s="109" t="s">
        <v>610</v>
      </c>
      <c r="E57" s="109">
        <v>18</v>
      </c>
      <c r="F57" s="109">
        <v>7</v>
      </c>
      <c r="G57" s="109">
        <v>2</v>
      </c>
      <c r="H57" s="109">
        <v>497</v>
      </c>
      <c r="I57" s="109">
        <v>54</v>
      </c>
      <c r="J57" s="110">
        <v>24</v>
      </c>
      <c r="K57" s="110">
        <v>8</v>
      </c>
      <c r="L57" s="109">
        <v>10.5</v>
      </c>
      <c r="M57" s="109">
        <v>65</v>
      </c>
      <c r="N57" s="109"/>
      <c r="O57" s="111">
        <v>36.5</v>
      </c>
      <c r="P57" s="111">
        <f t="shared" ref="P57:P65" si="16">IF(C57=0,$P$8*O57,$P$9*O57)</f>
        <v>47.45</v>
      </c>
      <c r="Q57" s="112">
        <f t="shared" ref="Q57:Q65" si="17">IF(D57="Max",O57/21000*110*$R$98,O57/19030*71*$R$98)</f>
        <v>0.17703363110877562</v>
      </c>
      <c r="R57" s="113">
        <f t="shared" ref="R57:R65" si="18">IF(C57=0,$R$8*Q57,$R$9*Q57)</f>
        <v>0.23014372044140832</v>
      </c>
      <c r="S57" s="113">
        <v>0.38</v>
      </c>
      <c r="T57" s="114">
        <f>IF(C57=0,$T$8*S57,$T$9*S57)</f>
        <v>0.49400000000000005</v>
      </c>
      <c r="U57" s="111">
        <v>24.3</v>
      </c>
      <c r="V57" s="111">
        <f t="shared" ref="V57:V83" si="19">IF(C57=0,$V$8*U57,$V$9*U57)</f>
        <v>31.590000000000003</v>
      </c>
      <c r="W57" s="115"/>
      <c r="X57" s="110">
        <v>45</v>
      </c>
      <c r="Y57" s="110">
        <v>90</v>
      </c>
      <c r="Z57" s="110" t="s">
        <v>607</v>
      </c>
      <c r="AA57" s="110">
        <v>15094</v>
      </c>
      <c r="AB57" s="110">
        <v>15323</v>
      </c>
      <c r="AC57" s="110">
        <v>6916</v>
      </c>
      <c r="AD57" s="110"/>
      <c r="AE57" s="110">
        <v>8408</v>
      </c>
      <c r="AF57" s="110"/>
      <c r="AG57" s="110"/>
      <c r="AH57" s="110"/>
      <c r="AI57" s="110"/>
      <c r="AJ57" s="110">
        <v>6666.7</v>
      </c>
      <c r="AK57" s="110"/>
      <c r="AL57" s="110"/>
      <c r="AM57" s="110">
        <v>2292</v>
      </c>
      <c r="AN57" s="110"/>
      <c r="AO57" s="110"/>
      <c r="AP57" s="110"/>
      <c r="AQ57" s="110"/>
      <c r="AR57" s="110"/>
      <c r="AS57" s="110"/>
      <c r="AT57" s="110">
        <v>2063</v>
      </c>
      <c r="AU57" s="110"/>
      <c r="AV57" s="110">
        <v>694.4</v>
      </c>
      <c r="AW57" s="110">
        <v>686.6</v>
      </c>
      <c r="AX57" s="110"/>
      <c r="AY57" s="110"/>
      <c r="AZ57" s="110">
        <v>99.2</v>
      </c>
      <c r="BA57" s="110"/>
      <c r="BB57" s="110">
        <v>66.099999999999994</v>
      </c>
      <c r="BC57" s="110"/>
      <c r="BD57" s="73">
        <v>7.1</v>
      </c>
      <c r="BE57" s="110">
        <v>12.4</v>
      </c>
    </row>
    <row r="58" spans="1:57" s="106" customFormat="1">
      <c r="A58" s="151"/>
      <c r="B58" s="50" t="s">
        <v>608</v>
      </c>
      <c r="C58" s="76">
        <v>0</v>
      </c>
      <c r="D58" s="76" t="s">
        <v>610</v>
      </c>
      <c r="E58" s="76">
        <v>18</v>
      </c>
      <c r="F58" s="76">
        <v>7</v>
      </c>
      <c r="G58" s="76">
        <v>2</v>
      </c>
      <c r="H58" s="76">
        <v>497</v>
      </c>
      <c r="I58" s="76">
        <v>54</v>
      </c>
      <c r="J58" s="77">
        <v>24</v>
      </c>
      <c r="K58" s="77">
        <v>8</v>
      </c>
      <c r="L58" s="76">
        <v>10.5</v>
      </c>
      <c r="M58" s="76">
        <v>95.2</v>
      </c>
      <c r="N58" s="76"/>
      <c r="O58" s="83">
        <v>53.8</v>
      </c>
      <c r="P58" s="83">
        <f t="shared" si="16"/>
        <v>69.94</v>
      </c>
      <c r="Q58" s="88">
        <f t="shared" si="17"/>
        <v>0.26094272201786656</v>
      </c>
      <c r="R58" s="88">
        <f t="shared" si="18"/>
        <v>0.33922553862322652</v>
      </c>
      <c r="S58" s="88">
        <v>0.53</v>
      </c>
      <c r="T58" s="89">
        <f>IF(C58=0,$T$8*S58,$T$9*S58)</f>
        <v>0.68900000000000006</v>
      </c>
      <c r="U58" s="83">
        <v>35.799999999999997</v>
      </c>
      <c r="V58" s="83">
        <f t="shared" si="19"/>
        <v>46.54</v>
      </c>
      <c r="W58" s="78"/>
      <c r="X58" s="77">
        <v>45</v>
      </c>
      <c r="Y58" s="77">
        <v>90</v>
      </c>
      <c r="Z58" s="77" t="s">
        <v>607</v>
      </c>
      <c r="AA58" s="77">
        <v>14975</v>
      </c>
      <c r="AB58" s="77">
        <v>15107</v>
      </c>
      <c r="AC58" s="77">
        <v>6818.2</v>
      </c>
      <c r="AD58" s="77"/>
      <c r="AE58" s="77">
        <v>8289</v>
      </c>
      <c r="AF58" s="77"/>
      <c r="AG58" s="77"/>
      <c r="AH58" s="77"/>
      <c r="AI58" s="77"/>
      <c r="AJ58" s="77">
        <v>6666.7</v>
      </c>
      <c r="AK58" s="77"/>
      <c r="AL58" s="77"/>
      <c r="AM58" s="77">
        <v>1319.4</v>
      </c>
      <c r="AN58" s="77"/>
      <c r="AO58" s="77"/>
      <c r="AP58" s="77"/>
      <c r="AQ58" s="77"/>
      <c r="AR58" s="77"/>
      <c r="AS58" s="77"/>
      <c r="AT58" s="77">
        <v>1187.5</v>
      </c>
      <c r="AU58" s="77"/>
      <c r="AV58" s="77">
        <v>696.2</v>
      </c>
      <c r="AW58" s="77">
        <v>688.5</v>
      </c>
      <c r="AX58" s="77"/>
      <c r="AY58" s="77"/>
      <c r="AZ58" s="77">
        <v>64.8</v>
      </c>
      <c r="BA58" s="77"/>
      <c r="BB58" s="77">
        <v>49.7</v>
      </c>
      <c r="BC58" s="77"/>
      <c r="BD58" s="79">
        <v>7</v>
      </c>
      <c r="BE58" s="77">
        <v>7.1</v>
      </c>
    </row>
    <row r="59" spans="1:57" s="106" customFormat="1">
      <c r="A59" s="151"/>
      <c r="B59" s="50" t="s">
        <v>608</v>
      </c>
      <c r="C59" s="76">
        <v>0</v>
      </c>
      <c r="D59" s="76" t="s">
        <v>610</v>
      </c>
      <c r="E59" s="76">
        <v>18</v>
      </c>
      <c r="F59" s="76">
        <v>7</v>
      </c>
      <c r="G59" s="76">
        <v>1</v>
      </c>
      <c r="H59" s="76">
        <v>497</v>
      </c>
      <c r="I59" s="76">
        <v>27</v>
      </c>
      <c r="J59" s="77">
        <v>12</v>
      </c>
      <c r="K59" s="77">
        <v>8</v>
      </c>
      <c r="L59" s="76">
        <v>10.5</v>
      </c>
      <c r="M59" s="76">
        <v>99.3</v>
      </c>
      <c r="N59" s="76"/>
      <c r="O59" s="83">
        <v>56</v>
      </c>
      <c r="P59" s="83">
        <f t="shared" si="16"/>
        <v>72.8</v>
      </c>
      <c r="Q59" s="88">
        <f t="shared" si="17"/>
        <v>0.2716132422490804</v>
      </c>
      <c r="R59" s="88">
        <f t="shared" si="18"/>
        <v>0.35309721492380453</v>
      </c>
      <c r="S59" s="88">
        <v>0.53</v>
      </c>
      <c r="T59" s="89">
        <f>IF(C59=0,$T$8*S59,$T$9*S59)</f>
        <v>0.68900000000000006</v>
      </c>
      <c r="U59" s="83">
        <v>37.4</v>
      </c>
      <c r="V59" s="83">
        <f t="shared" si="19"/>
        <v>48.62</v>
      </c>
      <c r="W59" s="78"/>
      <c r="X59" s="77">
        <v>45</v>
      </c>
      <c r="Y59" s="77">
        <v>90</v>
      </c>
      <c r="Z59" s="84" t="s">
        <v>630</v>
      </c>
      <c r="AA59" s="77">
        <v>14964</v>
      </c>
      <c r="AB59" s="77">
        <v>15068</v>
      </c>
      <c r="AC59" s="77">
        <v>6800.8</v>
      </c>
      <c r="AD59" s="77"/>
      <c r="AE59" s="77">
        <v>8267.9</v>
      </c>
      <c r="AF59" s="77"/>
      <c r="AG59" s="77"/>
      <c r="AH59" s="77"/>
      <c r="AI59" s="77"/>
      <c r="AJ59" s="77">
        <v>6666.7</v>
      </c>
      <c r="AK59" s="77"/>
      <c r="AL59" s="77"/>
      <c r="AM59" s="77">
        <v>1145.8</v>
      </c>
      <c r="AN59" s="77"/>
      <c r="AO59" s="77"/>
      <c r="AP59" s="77"/>
      <c r="AQ59" s="77"/>
      <c r="AR59" s="77"/>
      <c r="AS59" s="77"/>
      <c r="AT59" s="77">
        <v>1031.3</v>
      </c>
      <c r="AU59" s="77"/>
      <c r="AV59" s="77">
        <v>696.5</v>
      </c>
      <c r="AW59" s="77">
        <v>688.8</v>
      </c>
      <c r="AX59" s="77"/>
      <c r="AY59" s="77"/>
      <c r="AZ59" s="77">
        <v>103.7</v>
      </c>
      <c r="BA59" s="77"/>
      <c r="BB59" s="77">
        <v>71.8</v>
      </c>
      <c r="BC59" s="77"/>
      <c r="BD59" s="79">
        <v>7</v>
      </c>
      <c r="BE59" s="77">
        <v>12.4</v>
      </c>
    </row>
    <row r="60" spans="1:57" s="31" customFormat="1">
      <c r="A60" s="151"/>
      <c r="B60" s="32" t="s">
        <v>608</v>
      </c>
      <c r="C60" s="109">
        <v>0</v>
      </c>
      <c r="D60" s="109" t="s">
        <v>610</v>
      </c>
      <c r="E60" s="109">
        <v>15</v>
      </c>
      <c r="F60" s="109">
        <v>7</v>
      </c>
      <c r="G60" s="109">
        <v>2</v>
      </c>
      <c r="H60" s="109">
        <v>497</v>
      </c>
      <c r="I60" s="109">
        <v>54</v>
      </c>
      <c r="J60" s="110">
        <v>24</v>
      </c>
      <c r="K60" s="110">
        <v>8</v>
      </c>
      <c r="L60" s="109">
        <v>10.5</v>
      </c>
      <c r="M60" s="109">
        <v>70</v>
      </c>
      <c r="N60" s="109"/>
      <c r="O60" s="111">
        <v>39.200000000000003</v>
      </c>
      <c r="P60" s="111">
        <f t="shared" si="16"/>
        <v>50.960000000000008</v>
      </c>
      <c r="Q60" s="112">
        <f t="shared" si="17"/>
        <v>0.1901292695743563</v>
      </c>
      <c r="R60" s="113">
        <f t="shared" si="18"/>
        <v>0.24716805044666321</v>
      </c>
      <c r="S60" s="113">
        <v>0.38</v>
      </c>
      <c r="T60" s="114">
        <f>IF(C60=0,$T$8*S60,$T$9*S60)</f>
        <v>0.49400000000000005</v>
      </c>
      <c r="U60" s="111">
        <v>26.1</v>
      </c>
      <c r="V60" s="111">
        <f t="shared" si="19"/>
        <v>33.93</v>
      </c>
      <c r="W60" s="115"/>
      <c r="X60" s="110">
        <v>45</v>
      </c>
      <c r="Y60" s="110">
        <v>90</v>
      </c>
      <c r="Z60" s="110" t="s">
        <v>607</v>
      </c>
      <c r="AA60" s="110">
        <v>15043</v>
      </c>
      <c r="AB60" s="110">
        <v>15230</v>
      </c>
      <c r="AC60" s="110">
        <v>6874</v>
      </c>
      <c r="AD60" s="110"/>
      <c r="AE60" s="110">
        <v>8357</v>
      </c>
      <c r="AF60" s="110"/>
      <c r="AG60" s="110"/>
      <c r="AH60" s="110"/>
      <c r="AI60" s="110"/>
      <c r="AJ60" s="110">
        <v>6666.7</v>
      </c>
      <c r="AK60" s="110"/>
      <c r="AL60" s="110"/>
      <c r="AM60" s="110">
        <v>1875</v>
      </c>
      <c r="AN60" s="110"/>
      <c r="AO60" s="110"/>
      <c r="AP60" s="110"/>
      <c r="AQ60" s="110"/>
      <c r="AR60" s="110"/>
      <c r="AS60" s="110"/>
      <c r="AT60" s="110">
        <v>1688</v>
      </c>
      <c r="AU60" s="110"/>
      <c r="AV60" s="110">
        <v>705.2</v>
      </c>
      <c r="AW60" s="110">
        <v>697.3</v>
      </c>
      <c r="AX60" s="110"/>
      <c r="AY60" s="110"/>
      <c r="AZ60" s="110">
        <v>87.2</v>
      </c>
      <c r="BA60" s="110"/>
      <c r="BB60" s="110">
        <v>61.1</v>
      </c>
      <c r="BC60" s="110"/>
      <c r="BD60" s="73">
        <v>7.1</v>
      </c>
      <c r="BE60" s="110">
        <v>10.1</v>
      </c>
    </row>
    <row r="61" spans="1:57" s="106" customFormat="1">
      <c r="A61" s="151"/>
      <c r="B61" s="50" t="s">
        <v>608</v>
      </c>
      <c r="C61" s="76">
        <v>0</v>
      </c>
      <c r="D61" s="76" t="s">
        <v>610</v>
      </c>
      <c r="E61" s="76">
        <v>15</v>
      </c>
      <c r="F61" s="76">
        <v>7</v>
      </c>
      <c r="G61" s="76">
        <v>1</v>
      </c>
      <c r="H61" s="76">
        <v>497</v>
      </c>
      <c r="I61" s="76">
        <v>27</v>
      </c>
      <c r="J61" s="77">
        <v>12</v>
      </c>
      <c r="K61" s="77">
        <v>8</v>
      </c>
      <c r="L61" s="76">
        <v>10.5</v>
      </c>
      <c r="M61" s="76">
        <v>105.4</v>
      </c>
      <c r="N61" s="76"/>
      <c r="O61" s="83">
        <v>59.5</v>
      </c>
      <c r="P61" s="83">
        <f t="shared" si="16"/>
        <v>77.350000000000009</v>
      </c>
      <c r="Q61" s="88">
        <f t="shared" si="17"/>
        <v>0.28858906988964794</v>
      </c>
      <c r="R61" s="88">
        <f t="shared" si="18"/>
        <v>0.37516579085654234</v>
      </c>
      <c r="S61" s="88">
        <v>0.53</v>
      </c>
      <c r="T61" s="89"/>
      <c r="U61" s="83">
        <v>39.700000000000003</v>
      </c>
      <c r="V61" s="83">
        <f t="shared" si="19"/>
        <v>51.610000000000007</v>
      </c>
      <c r="W61" s="78"/>
      <c r="X61" s="77">
        <v>45</v>
      </c>
      <c r="Y61" s="77">
        <v>90</v>
      </c>
      <c r="Z61" s="84" t="s">
        <v>630</v>
      </c>
      <c r="AA61" s="77">
        <v>14907</v>
      </c>
      <c r="AB61" s="77">
        <v>14983</v>
      </c>
      <c r="AC61" s="77">
        <v>6762.5</v>
      </c>
      <c r="AD61" s="77"/>
      <c r="AE61" s="77">
        <v>8221.2999999999993</v>
      </c>
      <c r="AF61" s="77"/>
      <c r="AG61" s="77"/>
      <c r="AH61" s="77"/>
      <c r="AI61" s="77"/>
      <c r="AJ61" s="77">
        <v>6666.7</v>
      </c>
      <c r="AK61" s="77"/>
      <c r="AL61" s="77"/>
      <c r="AM61" s="77">
        <v>763.9</v>
      </c>
      <c r="AN61" s="77"/>
      <c r="AO61" s="77"/>
      <c r="AP61" s="77"/>
      <c r="AQ61" s="77"/>
      <c r="AR61" s="77"/>
      <c r="AS61" s="77"/>
      <c r="AT61" s="77">
        <v>687.5</v>
      </c>
      <c r="AU61" s="77"/>
      <c r="AV61" s="77">
        <v>706.8</v>
      </c>
      <c r="AW61" s="77">
        <v>699.1</v>
      </c>
      <c r="AX61" s="77"/>
      <c r="AY61" s="77"/>
      <c r="AZ61" s="77">
        <v>77</v>
      </c>
      <c r="BA61" s="77"/>
      <c r="BB61" s="77">
        <v>58.1</v>
      </c>
      <c r="BC61" s="77"/>
      <c r="BD61" s="79">
        <v>7</v>
      </c>
      <c r="BE61" s="77">
        <v>8.1999999999999993</v>
      </c>
    </row>
    <row r="62" spans="1:57" s="106" customFormat="1">
      <c r="A62" s="151"/>
      <c r="B62" s="50" t="s">
        <v>608</v>
      </c>
      <c r="C62" s="76">
        <v>0</v>
      </c>
      <c r="D62" s="76" t="s">
        <v>610</v>
      </c>
      <c r="E62" s="76">
        <v>13</v>
      </c>
      <c r="F62" s="76">
        <v>7</v>
      </c>
      <c r="G62" s="76">
        <v>1</v>
      </c>
      <c r="H62" s="76">
        <v>497</v>
      </c>
      <c r="I62" s="76">
        <v>27</v>
      </c>
      <c r="J62" s="77">
        <v>12</v>
      </c>
      <c r="K62" s="77">
        <v>8</v>
      </c>
      <c r="L62" s="76">
        <v>10.5</v>
      </c>
      <c r="M62" s="76">
        <v>108.2</v>
      </c>
      <c r="N62" s="76"/>
      <c r="O62" s="83">
        <v>61</v>
      </c>
      <c r="P62" s="83">
        <f t="shared" si="16"/>
        <v>79.3</v>
      </c>
      <c r="Q62" s="88">
        <f t="shared" si="17"/>
        <v>0.29586442459274831</v>
      </c>
      <c r="R62" s="88">
        <f t="shared" si="18"/>
        <v>0.3846237519705728</v>
      </c>
      <c r="S62" s="88">
        <v>0.53</v>
      </c>
      <c r="T62" s="89">
        <f>IF(C62=0,$T$8*S62,$T$9*S62)</f>
        <v>0.68900000000000006</v>
      </c>
      <c r="U62" s="83">
        <v>40.700000000000003</v>
      </c>
      <c r="V62" s="117">
        <f t="shared" si="19"/>
        <v>52.910000000000004</v>
      </c>
      <c r="W62" s="78"/>
      <c r="X62" s="77">
        <v>45</v>
      </c>
      <c r="Y62" s="77">
        <v>90</v>
      </c>
      <c r="Z62" s="84" t="s">
        <v>630</v>
      </c>
      <c r="AA62" s="77">
        <v>14881</v>
      </c>
      <c r="AB62" s="77">
        <v>14937</v>
      </c>
      <c r="AC62" s="77">
        <v>6741.6</v>
      </c>
      <c r="AD62" s="77"/>
      <c r="AE62" s="77">
        <v>8195.9</v>
      </c>
      <c r="AF62" s="77"/>
      <c r="AG62" s="77"/>
      <c r="AH62" s="77"/>
      <c r="AI62" s="77"/>
      <c r="AJ62" s="77">
        <v>6666.7</v>
      </c>
      <c r="AK62" s="77"/>
      <c r="AL62" s="77"/>
      <c r="AM62" s="77">
        <v>555.6</v>
      </c>
      <c r="AN62" s="77"/>
      <c r="AO62" s="77"/>
      <c r="AP62" s="77"/>
      <c r="AQ62" s="77"/>
      <c r="AR62" s="77"/>
      <c r="AS62" s="77"/>
      <c r="AT62" s="77">
        <v>500</v>
      </c>
      <c r="AU62" s="77"/>
      <c r="AV62" s="77">
        <v>716.4</v>
      </c>
      <c r="AW62" s="77">
        <v>708.6</v>
      </c>
      <c r="AX62" s="77"/>
      <c r="AY62" s="77"/>
      <c r="AZ62" s="77">
        <v>60.9</v>
      </c>
      <c r="BA62" s="77"/>
      <c r="BB62" s="77">
        <v>48</v>
      </c>
      <c r="BC62" s="77"/>
      <c r="BD62" s="79">
        <v>7</v>
      </c>
      <c r="BE62" s="118">
        <v>6</v>
      </c>
    </row>
    <row r="63" spans="1:57" s="31" customFormat="1">
      <c r="A63" s="152"/>
      <c r="B63" s="50" t="s">
        <v>608</v>
      </c>
      <c r="C63" s="76">
        <v>0</v>
      </c>
      <c r="D63" s="76" t="s">
        <v>610</v>
      </c>
      <c r="E63" s="76">
        <v>12</v>
      </c>
      <c r="F63" s="76">
        <v>7</v>
      </c>
      <c r="G63" s="76">
        <v>2</v>
      </c>
      <c r="H63" s="76">
        <v>497</v>
      </c>
      <c r="I63" s="76">
        <v>54</v>
      </c>
      <c r="J63" s="77">
        <v>24</v>
      </c>
      <c r="K63" s="77">
        <v>8</v>
      </c>
      <c r="L63" s="76">
        <v>10.5</v>
      </c>
      <c r="M63" s="76">
        <v>71</v>
      </c>
      <c r="N63" s="76"/>
      <c r="O63" s="83">
        <v>40.200000000000003</v>
      </c>
      <c r="P63" s="83">
        <f t="shared" si="16"/>
        <v>52.260000000000005</v>
      </c>
      <c r="Q63" s="88">
        <f t="shared" si="17"/>
        <v>0.19497950604308989</v>
      </c>
      <c r="R63" s="88">
        <f t="shared" si="18"/>
        <v>0.25347335785601688</v>
      </c>
      <c r="S63" s="88">
        <v>0.37</v>
      </c>
      <c r="T63" s="88">
        <f>IF(C63=0,$T$8*S63,$T$9*S63)</f>
        <v>0.48099999999999998</v>
      </c>
      <c r="U63" s="83">
        <v>26.8</v>
      </c>
      <c r="V63" s="85">
        <f t="shared" si="19"/>
        <v>34.840000000000003</v>
      </c>
      <c r="W63" s="78"/>
      <c r="X63" s="77">
        <v>45</v>
      </c>
      <c r="Y63" s="77">
        <v>90</v>
      </c>
      <c r="Z63" s="77" t="s">
        <v>607</v>
      </c>
      <c r="AA63" s="77">
        <v>15000</v>
      </c>
      <c r="AB63" s="77">
        <v>15153</v>
      </c>
      <c r="AC63" s="77">
        <v>6839.1</v>
      </c>
      <c r="AD63" s="77"/>
      <c r="AE63" s="77">
        <v>8314</v>
      </c>
      <c r="AF63" s="77"/>
      <c r="AG63" s="77"/>
      <c r="AH63" s="77"/>
      <c r="AI63" s="77"/>
      <c r="AJ63" s="77">
        <v>6666.7</v>
      </c>
      <c r="AK63" s="77"/>
      <c r="AL63" s="77"/>
      <c r="AM63" s="77">
        <v>1528</v>
      </c>
      <c r="AN63" s="77"/>
      <c r="AO63" s="77"/>
      <c r="AP63" s="77"/>
      <c r="AQ63" s="77"/>
      <c r="AR63" s="77"/>
      <c r="AS63" s="77"/>
      <c r="AT63" s="77">
        <v>1375</v>
      </c>
      <c r="AU63" s="77"/>
      <c r="AV63" s="77">
        <v>721</v>
      </c>
      <c r="AW63" s="77">
        <v>713</v>
      </c>
      <c r="AX63" s="77"/>
      <c r="AY63" s="77"/>
      <c r="AZ63" s="77">
        <v>76.599999999999994</v>
      </c>
      <c r="BA63" s="77"/>
      <c r="BB63" s="77">
        <v>56.1</v>
      </c>
      <c r="BC63" s="77"/>
      <c r="BD63" s="79">
        <v>7.1</v>
      </c>
      <c r="BE63" s="77">
        <v>8.1999999999999993</v>
      </c>
    </row>
    <row r="64" spans="1:57" s="31" customFormat="1">
      <c r="A64" s="152"/>
      <c r="B64" s="50" t="s">
        <v>608</v>
      </c>
      <c r="C64" s="76">
        <v>0</v>
      </c>
      <c r="D64" s="76" t="s">
        <v>610</v>
      </c>
      <c r="E64" s="76">
        <v>10</v>
      </c>
      <c r="F64" s="76">
        <v>7</v>
      </c>
      <c r="G64" s="76">
        <v>2</v>
      </c>
      <c r="H64" s="76">
        <v>497</v>
      </c>
      <c r="I64" s="76">
        <v>54</v>
      </c>
      <c r="J64" s="77">
        <v>24</v>
      </c>
      <c r="K64" s="77">
        <v>8</v>
      </c>
      <c r="L64" s="76">
        <v>10.5</v>
      </c>
      <c r="M64" s="76">
        <v>72</v>
      </c>
      <c r="N64" s="76"/>
      <c r="O64" s="83">
        <v>40.700000000000003</v>
      </c>
      <c r="P64" s="83">
        <f t="shared" si="16"/>
        <v>52.910000000000004</v>
      </c>
      <c r="Q64" s="88">
        <f t="shared" si="17"/>
        <v>0.19740462427745667</v>
      </c>
      <c r="R64" s="88">
        <f t="shared" si="18"/>
        <v>0.2566260115606937</v>
      </c>
      <c r="S64" s="88">
        <v>0.36</v>
      </c>
      <c r="T64" s="91">
        <f>IF(C64=0,$T$8*S64,$T$9*S64)</f>
        <v>0.46799999999999997</v>
      </c>
      <c r="U64" s="83">
        <v>27.1</v>
      </c>
      <c r="V64" s="85">
        <f t="shared" si="19"/>
        <v>35.230000000000004</v>
      </c>
      <c r="W64" s="78"/>
      <c r="X64" s="77">
        <v>45</v>
      </c>
      <c r="Y64" s="77">
        <v>90</v>
      </c>
      <c r="Z64" s="77" t="s">
        <v>607</v>
      </c>
      <c r="AA64" s="77">
        <v>14975</v>
      </c>
      <c r="AB64" s="77">
        <v>15107</v>
      </c>
      <c r="AC64" s="77">
        <v>6818</v>
      </c>
      <c r="AD64" s="77"/>
      <c r="AE64" s="77">
        <v>8289</v>
      </c>
      <c r="AF64" s="77"/>
      <c r="AG64" s="77"/>
      <c r="AH64" s="77"/>
      <c r="AI64" s="77"/>
      <c r="AJ64" s="77">
        <v>6666.7</v>
      </c>
      <c r="AK64" s="77"/>
      <c r="AL64" s="77"/>
      <c r="AM64" s="77">
        <v>1319</v>
      </c>
      <c r="AN64" s="77"/>
      <c r="AO64" s="77"/>
      <c r="AP64" s="77"/>
      <c r="AQ64" s="77"/>
      <c r="AR64" s="77"/>
      <c r="AS64" s="77"/>
      <c r="AT64" s="77">
        <v>1188</v>
      </c>
      <c r="AU64" s="77"/>
      <c r="AV64" s="77">
        <v>735</v>
      </c>
      <c r="AW64" s="77">
        <v>727</v>
      </c>
      <c r="AX64" s="77"/>
      <c r="AY64" s="77"/>
      <c r="AZ64" s="77">
        <v>69.7</v>
      </c>
      <c r="BA64" s="77"/>
      <c r="BB64" s="77">
        <v>52.3</v>
      </c>
      <c r="BC64" s="77"/>
      <c r="BD64" s="79">
        <v>7</v>
      </c>
      <c r="BE64" s="77">
        <v>7.1</v>
      </c>
    </row>
    <row r="65" spans="1:57" s="31" customFormat="1">
      <c r="A65" s="152"/>
      <c r="B65" s="50" t="s">
        <v>608</v>
      </c>
      <c r="C65" s="76">
        <v>0</v>
      </c>
      <c r="D65" s="76" t="s">
        <v>610</v>
      </c>
      <c r="E65" s="76">
        <v>8</v>
      </c>
      <c r="F65" s="76">
        <v>7</v>
      </c>
      <c r="G65" s="76">
        <v>2</v>
      </c>
      <c r="H65" s="76">
        <v>497</v>
      </c>
      <c r="I65" s="76">
        <v>54</v>
      </c>
      <c r="J65" s="77">
        <v>24</v>
      </c>
      <c r="K65" s="77">
        <v>8</v>
      </c>
      <c r="L65" s="76">
        <v>10.5</v>
      </c>
      <c r="M65" s="76">
        <v>72</v>
      </c>
      <c r="N65" s="76"/>
      <c r="O65" s="83">
        <v>40.5</v>
      </c>
      <c r="P65" s="83">
        <f t="shared" si="16"/>
        <v>52.65</v>
      </c>
      <c r="Q65" s="88">
        <f t="shared" si="17"/>
        <v>0.19643457698370995</v>
      </c>
      <c r="R65" s="88">
        <f t="shared" si="18"/>
        <v>0.25536495007882293</v>
      </c>
      <c r="S65" s="88">
        <v>0.35</v>
      </c>
      <c r="T65" s="91">
        <f>IF(C65=0,$T$8*S65,$T$9*S65)</f>
        <v>0.45499999999999996</v>
      </c>
      <c r="U65" s="83">
        <v>27</v>
      </c>
      <c r="V65" s="85">
        <f t="shared" si="19"/>
        <v>35.1</v>
      </c>
      <c r="W65" s="78"/>
      <c r="X65" s="77">
        <v>45</v>
      </c>
      <c r="Y65" s="77">
        <v>90</v>
      </c>
      <c r="Z65" s="77" t="s">
        <v>607</v>
      </c>
      <c r="AA65" s="77">
        <v>14949</v>
      </c>
      <c r="AB65" s="77">
        <v>15060</v>
      </c>
      <c r="AC65" s="77">
        <v>6797</v>
      </c>
      <c r="AD65" s="77"/>
      <c r="AE65" s="77">
        <v>8264</v>
      </c>
      <c r="AF65" s="77"/>
      <c r="AG65" s="77"/>
      <c r="AH65" s="77"/>
      <c r="AI65" s="77"/>
      <c r="AJ65" s="77">
        <v>6666.7</v>
      </c>
      <c r="AK65" s="77"/>
      <c r="AL65" s="77"/>
      <c r="AM65" s="77">
        <v>1111</v>
      </c>
      <c r="AN65" s="77"/>
      <c r="AO65" s="77"/>
      <c r="AP65" s="77"/>
      <c r="AQ65" s="77"/>
      <c r="AR65" s="77"/>
      <c r="AS65" s="77"/>
      <c r="AT65" s="77">
        <v>1000</v>
      </c>
      <c r="AU65" s="77"/>
      <c r="AV65" s="77">
        <v>752.5</v>
      </c>
      <c r="AW65" s="77">
        <v>744.5</v>
      </c>
      <c r="AX65" s="77"/>
      <c r="AY65" s="77"/>
      <c r="AZ65" s="77">
        <v>62.1</v>
      </c>
      <c r="BA65" s="77"/>
      <c r="BB65" s="77">
        <v>47.7</v>
      </c>
      <c r="BC65" s="77"/>
      <c r="BD65" s="79">
        <v>7</v>
      </c>
      <c r="BE65" s="77">
        <v>6</v>
      </c>
    </row>
    <row r="66" spans="1:57" s="31" customFormat="1">
      <c r="A66" s="152"/>
      <c r="B66" s="50"/>
      <c r="C66" s="76"/>
      <c r="D66" s="76"/>
      <c r="E66" s="76"/>
      <c r="F66" s="76"/>
      <c r="G66" s="76"/>
      <c r="H66" s="76"/>
      <c r="I66" s="76"/>
      <c r="J66" s="77"/>
      <c r="K66" s="77"/>
      <c r="L66" s="76"/>
      <c r="M66" s="76"/>
      <c r="N66" s="76"/>
      <c r="O66" s="83"/>
      <c r="P66" s="83"/>
      <c r="Q66" s="88" t="s">
        <v>46</v>
      </c>
      <c r="R66" s="88"/>
      <c r="S66" s="88"/>
      <c r="T66" s="91"/>
      <c r="U66" s="83"/>
      <c r="V66" s="85">
        <f t="shared" si="19"/>
        <v>0</v>
      </c>
      <c r="W66" s="78"/>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9"/>
      <c r="BE66" s="77"/>
    </row>
    <row r="67" spans="1:57" s="31" customFormat="1">
      <c r="A67" s="151"/>
      <c r="B67" s="32" t="s">
        <v>608</v>
      </c>
      <c r="C67" s="109">
        <v>0</v>
      </c>
      <c r="D67" s="109" t="s">
        <v>612</v>
      </c>
      <c r="E67" s="109">
        <v>18</v>
      </c>
      <c r="F67" s="109">
        <v>7</v>
      </c>
      <c r="G67" s="109">
        <v>2</v>
      </c>
      <c r="H67" s="109">
        <v>497</v>
      </c>
      <c r="I67" s="109">
        <v>54</v>
      </c>
      <c r="J67" s="110">
        <v>24</v>
      </c>
      <c r="K67" s="110">
        <v>8</v>
      </c>
      <c r="L67" s="109">
        <v>10.5</v>
      </c>
      <c r="M67" s="109">
        <v>64</v>
      </c>
      <c r="N67" s="109"/>
      <c r="O67" s="111">
        <v>36.200000000000003</v>
      </c>
      <c r="P67" s="111">
        <f t="shared" ref="P67:P83" si="20">IF(C67=0,$P$8*O67,$P$9*O67)</f>
        <v>47.06</v>
      </c>
      <c r="Q67" s="112">
        <f t="shared" ref="Q67:Q74" si="21">IF(D67="Max",O67/21000*110*$R$98,O67/19030*71*$R$98)</f>
        <v>0.17557856016815557</v>
      </c>
      <c r="R67" s="113">
        <f t="shared" ref="R67:R74" si="22">IF(C67=0,$R$8*Q67,$R$9*Q67)</f>
        <v>0.22825212821860225</v>
      </c>
      <c r="S67" s="113">
        <v>0.38</v>
      </c>
      <c r="T67" s="114">
        <f t="shared" ref="T67:T83" si="23">IF(C67=0,$T$8*S67,$T$9*S67)</f>
        <v>0.49400000000000005</v>
      </c>
      <c r="U67" s="111">
        <v>24.1</v>
      </c>
      <c r="V67" s="111">
        <f t="shared" si="19"/>
        <v>31.330000000000002</v>
      </c>
      <c r="W67" s="115"/>
      <c r="X67" s="110">
        <v>45</v>
      </c>
      <c r="Y67" s="110">
        <v>90</v>
      </c>
      <c r="Z67" s="110" t="s">
        <v>607</v>
      </c>
      <c r="AA67" s="110">
        <v>15085</v>
      </c>
      <c r="AB67" s="110">
        <v>15307</v>
      </c>
      <c r="AC67" s="110">
        <v>6909</v>
      </c>
      <c r="AD67" s="110"/>
      <c r="AE67" s="110">
        <v>8399</v>
      </c>
      <c r="AF67" s="110"/>
      <c r="AG67" s="110"/>
      <c r="AH67" s="110"/>
      <c r="AI67" s="110"/>
      <c r="AJ67" s="110">
        <v>6666.7</v>
      </c>
      <c r="AK67" s="110"/>
      <c r="AL67" s="110"/>
      <c r="AM67" s="110">
        <v>2222</v>
      </c>
      <c r="AN67" s="110"/>
      <c r="AO67" s="110"/>
      <c r="AP67" s="110"/>
      <c r="AQ67" s="110"/>
      <c r="AR67" s="110"/>
      <c r="AS67" s="110"/>
      <c r="AT67" s="110">
        <v>2000</v>
      </c>
      <c r="AU67" s="110"/>
      <c r="AV67" s="110">
        <v>668.4</v>
      </c>
      <c r="AW67" s="110">
        <v>660.5</v>
      </c>
      <c r="AX67" s="110"/>
      <c r="AY67" s="110"/>
      <c r="AZ67" s="110">
        <v>96</v>
      </c>
      <c r="BA67" s="110"/>
      <c r="BB67" s="110">
        <v>64.099999999999994</v>
      </c>
      <c r="BC67" s="110"/>
      <c r="BD67" s="73">
        <v>7.1</v>
      </c>
      <c r="BE67" s="110">
        <v>12</v>
      </c>
    </row>
    <row r="68" spans="1:57" s="106" customFormat="1">
      <c r="A68" s="151"/>
      <c r="B68" s="50" t="s">
        <v>608</v>
      </c>
      <c r="C68" s="76">
        <v>0</v>
      </c>
      <c r="D68" s="76" t="s">
        <v>612</v>
      </c>
      <c r="E68" s="76">
        <v>18</v>
      </c>
      <c r="F68" s="76">
        <v>7</v>
      </c>
      <c r="G68" s="76">
        <v>2</v>
      </c>
      <c r="H68" s="76">
        <v>497</v>
      </c>
      <c r="I68" s="76">
        <v>54</v>
      </c>
      <c r="J68" s="77">
        <v>24</v>
      </c>
      <c r="K68" s="77">
        <v>8</v>
      </c>
      <c r="L68" s="76">
        <v>10.5</v>
      </c>
      <c r="M68" s="76">
        <v>95.1</v>
      </c>
      <c r="N68" s="76"/>
      <c r="O68" s="83">
        <v>35.799999999999997</v>
      </c>
      <c r="P68" s="83">
        <f t="shared" si="20"/>
        <v>46.54</v>
      </c>
      <c r="Q68" s="88">
        <f t="shared" si="21"/>
        <v>0.17363846558066209</v>
      </c>
      <c r="R68" s="88">
        <f t="shared" si="22"/>
        <v>0.22573000525486073</v>
      </c>
      <c r="S68" s="88">
        <v>0.53</v>
      </c>
      <c r="T68" s="89">
        <f t="shared" si="23"/>
        <v>0.68900000000000006</v>
      </c>
      <c r="U68" s="83">
        <v>35.799999999999997</v>
      </c>
      <c r="V68" s="83">
        <f t="shared" si="19"/>
        <v>46.54</v>
      </c>
      <c r="W68" s="78"/>
      <c r="X68" s="77">
        <v>45</v>
      </c>
      <c r="Y68" s="77">
        <v>90</v>
      </c>
      <c r="Z68" s="77" t="s">
        <v>607</v>
      </c>
      <c r="AA68" s="77">
        <v>14966</v>
      </c>
      <c r="AB68" s="77">
        <v>15091</v>
      </c>
      <c r="AC68" s="77">
        <v>6811</v>
      </c>
      <c r="AD68" s="77"/>
      <c r="AE68" s="77">
        <v>8280.6</v>
      </c>
      <c r="AF68" s="77"/>
      <c r="AG68" s="77"/>
      <c r="AH68" s="77"/>
      <c r="AI68" s="77"/>
      <c r="AJ68" s="77">
        <v>6666.7</v>
      </c>
      <c r="AK68" s="77"/>
      <c r="AL68" s="77"/>
      <c r="AM68" s="77">
        <v>1250</v>
      </c>
      <c r="AN68" s="77"/>
      <c r="AO68" s="77"/>
      <c r="AP68" s="77"/>
      <c r="AQ68" s="77"/>
      <c r="AR68" s="77"/>
      <c r="AS68" s="77"/>
      <c r="AT68" s="77">
        <v>1125</v>
      </c>
      <c r="AU68" s="77"/>
      <c r="AV68" s="77">
        <v>670</v>
      </c>
      <c r="AW68" s="77">
        <v>662.3</v>
      </c>
      <c r="AX68" s="77"/>
      <c r="AY68" s="77"/>
      <c r="AZ68" s="77">
        <v>61.4</v>
      </c>
      <c r="BA68" s="77"/>
      <c r="BB68" s="77">
        <v>47.3</v>
      </c>
      <c r="BC68" s="77"/>
      <c r="BD68" s="79">
        <v>7</v>
      </c>
      <c r="BE68" s="77">
        <v>6.7</v>
      </c>
    </row>
    <row r="69" spans="1:57" s="31" customFormat="1">
      <c r="A69" s="151"/>
      <c r="B69" s="32" t="s">
        <v>608</v>
      </c>
      <c r="C69" s="109">
        <v>0</v>
      </c>
      <c r="D69" s="109" t="s">
        <v>612</v>
      </c>
      <c r="E69" s="109">
        <v>15</v>
      </c>
      <c r="F69" s="109">
        <v>7</v>
      </c>
      <c r="G69" s="109">
        <v>2</v>
      </c>
      <c r="H69" s="109">
        <v>497</v>
      </c>
      <c r="I69" s="109">
        <v>54</v>
      </c>
      <c r="J69" s="110">
        <v>24</v>
      </c>
      <c r="K69" s="110">
        <v>8</v>
      </c>
      <c r="L69" s="109">
        <v>10.5</v>
      </c>
      <c r="M69" s="109">
        <v>69</v>
      </c>
      <c r="N69" s="109"/>
      <c r="O69" s="111">
        <v>38.9</v>
      </c>
      <c r="P69" s="111">
        <f t="shared" si="20"/>
        <v>50.57</v>
      </c>
      <c r="Q69" s="112">
        <f t="shared" si="21"/>
        <v>0.18867419863373619</v>
      </c>
      <c r="R69" s="113">
        <f t="shared" si="22"/>
        <v>0.24527645822385705</v>
      </c>
      <c r="S69" s="113">
        <v>0.38</v>
      </c>
      <c r="T69" s="114">
        <f t="shared" si="23"/>
        <v>0.49400000000000005</v>
      </c>
      <c r="U69" s="111">
        <v>25.9</v>
      </c>
      <c r="V69" s="111">
        <f t="shared" si="19"/>
        <v>33.67</v>
      </c>
      <c r="W69" s="115"/>
      <c r="X69" s="110">
        <v>45</v>
      </c>
      <c r="Y69" s="110">
        <v>90</v>
      </c>
      <c r="Z69" s="110" t="s">
        <v>607</v>
      </c>
      <c r="AA69" s="110">
        <v>15034</v>
      </c>
      <c r="AB69" s="110">
        <v>15215</v>
      </c>
      <c r="AC69" s="110">
        <v>6867</v>
      </c>
      <c r="AD69" s="110"/>
      <c r="AE69" s="110">
        <v>8348</v>
      </c>
      <c r="AF69" s="110"/>
      <c r="AG69" s="110"/>
      <c r="AH69" s="110"/>
      <c r="AI69" s="110"/>
      <c r="AJ69" s="110">
        <v>6666.7</v>
      </c>
      <c r="AK69" s="110"/>
      <c r="AL69" s="110"/>
      <c r="AM69" s="110">
        <v>1806</v>
      </c>
      <c r="AN69" s="110"/>
      <c r="AO69" s="110"/>
      <c r="AP69" s="110"/>
      <c r="AQ69" s="110"/>
      <c r="AR69" s="110"/>
      <c r="AS69" s="110"/>
      <c r="AT69" s="110">
        <v>1625</v>
      </c>
      <c r="AU69" s="110"/>
      <c r="AV69" s="110">
        <v>679.4</v>
      </c>
      <c r="AW69" s="110">
        <v>671.5</v>
      </c>
      <c r="AX69" s="110"/>
      <c r="AY69" s="110"/>
      <c r="AZ69" s="110">
        <v>83.8</v>
      </c>
      <c r="BA69" s="110"/>
      <c r="BB69" s="110">
        <v>58.9</v>
      </c>
      <c r="BC69" s="110"/>
      <c r="BD69" s="73">
        <v>7.1</v>
      </c>
      <c r="BE69" s="110">
        <v>9.6999999999999993</v>
      </c>
    </row>
    <row r="70" spans="1:57" s="106" customFormat="1">
      <c r="A70" s="151"/>
      <c r="B70" s="50" t="s">
        <v>608</v>
      </c>
      <c r="C70" s="76">
        <v>0</v>
      </c>
      <c r="D70" s="76" t="s">
        <v>612</v>
      </c>
      <c r="E70" s="76">
        <v>15</v>
      </c>
      <c r="F70" s="76">
        <v>7</v>
      </c>
      <c r="G70" s="76">
        <v>2</v>
      </c>
      <c r="H70" s="76">
        <v>497</v>
      </c>
      <c r="I70" s="76">
        <v>54</v>
      </c>
      <c r="J70" s="77">
        <v>24</v>
      </c>
      <c r="K70" s="77">
        <v>8</v>
      </c>
      <c r="L70" s="76">
        <v>10.5</v>
      </c>
      <c r="M70" s="76">
        <v>101.8</v>
      </c>
      <c r="N70" s="76"/>
      <c r="O70" s="83">
        <v>57.5</v>
      </c>
      <c r="P70" s="83">
        <f t="shared" si="20"/>
        <v>74.75</v>
      </c>
      <c r="Q70" s="88">
        <f t="shared" si="21"/>
        <v>0.27888859695218077</v>
      </c>
      <c r="R70" s="88">
        <f t="shared" si="22"/>
        <v>0.36255517603783499</v>
      </c>
      <c r="S70" s="88">
        <v>0.53</v>
      </c>
      <c r="T70" s="89">
        <f t="shared" si="23"/>
        <v>0.68900000000000006</v>
      </c>
      <c r="U70" s="83">
        <v>38.299999999999997</v>
      </c>
      <c r="V70" s="83">
        <f t="shared" si="19"/>
        <v>49.79</v>
      </c>
      <c r="W70" s="78"/>
      <c r="X70" s="77">
        <v>45</v>
      </c>
      <c r="Y70" s="77">
        <v>90</v>
      </c>
      <c r="Z70" s="77" t="s">
        <v>607</v>
      </c>
      <c r="AA70" s="77">
        <v>14915</v>
      </c>
      <c r="AB70" s="77">
        <v>14999</v>
      </c>
      <c r="AC70" s="77">
        <v>6769.4</v>
      </c>
      <c r="AD70" s="77"/>
      <c r="AE70" s="77">
        <v>8229.7999999999993</v>
      </c>
      <c r="AF70" s="77"/>
      <c r="AG70" s="77"/>
      <c r="AH70" s="77"/>
      <c r="AI70" s="77"/>
      <c r="AJ70" s="77">
        <v>6666.7</v>
      </c>
      <c r="AK70" s="77"/>
      <c r="AL70" s="77"/>
      <c r="AM70" s="77">
        <v>833.3</v>
      </c>
      <c r="AN70" s="77"/>
      <c r="AO70" s="77"/>
      <c r="AP70" s="77"/>
      <c r="AQ70" s="77"/>
      <c r="AR70" s="77"/>
      <c r="AS70" s="77"/>
      <c r="AT70" s="77">
        <v>750</v>
      </c>
      <c r="AU70" s="77"/>
      <c r="AV70" s="77">
        <v>680.3</v>
      </c>
      <c r="AW70" s="77">
        <v>672.5</v>
      </c>
      <c r="AX70" s="77"/>
      <c r="AY70" s="77"/>
      <c r="AZ70" s="77">
        <v>48.3</v>
      </c>
      <c r="BA70" s="77"/>
      <c r="BB70" s="77">
        <v>39.5</v>
      </c>
      <c r="BC70" s="77"/>
      <c r="BD70" s="79">
        <v>7</v>
      </c>
      <c r="BE70" s="77">
        <v>4.5</v>
      </c>
    </row>
    <row r="71" spans="1:57" s="106" customFormat="1">
      <c r="A71" s="151"/>
      <c r="B71" s="50" t="s">
        <v>608</v>
      </c>
      <c r="C71" s="76">
        <v>0</v>
      </c>
      <c r="D71" s="76" t="s">
        <v>612</v>
      </c>
      <c r="E71" s="76">
        <v>13</v>
      </c>
      <c r="F71" s="76">
        <v>7</v>
      </c>
      <c r="G71" s="76">
        <v>2</v>
      </c>
      <c r="H71" s="76">
        <v>497</v>
      </c>
      <c r="I71" s="76">
        <v>54</v>
      </c>
      <c r="J71" s="77">
        <v>24</v>
      </c>
      <c r="K71" s="77">
        <v>8</v>
      </c>
      <c r="L71" s="76">
        <v>10.5</v>
      </c>
      <c r="M71" s="76">
        <v>104</v>
      </c>
      <c r="N71" s="76"/>
      <c r="O71" s="83">
        <v>58.7</v>
      </c>
      <c r="P71" s="83">
        <f t="shared" si="20"/>
        <v>76.31</v>
      </c>
      <c r="Q71" s="88">
        <f t="shared" si="21"/>
        <v>0.28470888071466111</v>
      </c>
      <c r="R71" s="88">
        <f t="shared" si="22"/>
        <v>0.37012154492905947</v>
      </c>
      <c r="S71" s="88">
        <v>0.52</v>
      </c>
      <c r="T71" s="88">
        <f t="shared" si="23"/>
        <v>0.67600000000000005</v>
      </c>
      <c r="U71" s="83">
        <v>39.1</v>
      </c>
      <c r="V71" s="85">
        <f t="shared" si="19"/>
        <v>50.830000000000005</v>
      </c>
      <c r="W71" s="78"/>
      <c r="X71" s="77">
        <v>45</v>
      </c>
      <c r="Y71" s="77">
        <v>90</v>
      </c>
      <c r="Z71" s="77" t="s">
        <v>607</v>
      </c>
      <c r="AA71" s="77">
        <v>14890</v>
      </c>
      <c r="AB71" s="77">
        <v>14952</v>
      </c>
      <c r="AC71" s="77">
        <v>6748.5</v>
      </c>
      <c r="AD71" s="77"/>
      <c r="AE71" s="77">
        <v>8204.4</v>
      </c>
      <c r="AF71" s="77"/>
      <c r="AG71" s="77"/>
      <c r="AH71" s="77"/>
      <c r="AI71" s="77"/>
      <c r="AJ71" s="77">
        <v>6666.7</v>
      </c>
      <c r="AK71" s="77"/>
      <c r="AL71" s="77"/>
      <c r="AM71" s="77">
        <v>625</v>
      </c>
      <c r="AN71" s="77"/>
      <c r="AO71" s="77"/>
      <c r="AP71" s="77"/>
      <c r="AQ71" s="77"/>
      <c r="AR71" s="77"/>
      <c r="AS71" s="77"/>
      <c r="AT71" s="77">
        <v>562.5</v>
      </c>
      <c r="AU71" s="77"/>
      <c r="AV71" s="77">
        <v>690.2</v>
      </c>
      <c r="AW71" s="77">
        <v>682.4</v>
      </c>
      <c r="AX71" s="77"/>
      <c r="AY71" s="77"/>
      <c r="AZ71" s="77">
        <v>40.5</v>
      </c>
      <c r="BA71" s="77"/>
      <c r="BB71" s="77">
        <v>33.799999999999997</v>
      </c>
      <c r="BC71" s="77"/>
      <c r="BD71" s="79">
        <v>7</v>
      </c>
      <c r="BE71" s="77">
        <v>3.4</v>
      </c>
    </row>
    <row r="72" spans="1:57" s="31" customFormat="1">
      <c r="A72" s="152"/>
      <c r="B72" s="50" t="s">
        <v>608</v>
      </c>
      <c r="C72" s="76">
        <v>0</v>
      </c>
      <c r="D72" s="76" t="s">
        <v>612</v>
      </c>
      <c r="E72" s="76">
        <v>12</v>
      </c>
      <c r="F72" s="76">
        <v>7</v>
      </c>
      <c r="G72" s="76">
        <v>2</v>
      </c>
      <c r="H72" s="76">
        <v>497</v>
      </c>
      <c r="I72" s="76">
        <v>54</v>
      </c>
      <c r="J72" s="77">
        <v>24</v>
      </c>
      <c r="K72" s="77">
        <v>8</v>
      </c>
      <c r="L72" s="76">
        <v>10.5</v>
      </c>
      <c r="M72" s="76">
        <v>73</v>
      </c>
      <c r="N72" s="76"/>
      <c r="O72" s="83">
        <v>40</v>
      </c>
      <c r="P72" s="83">
        <f t="shared" si="20"/>
        <v>52</v>
      </c>
      <c r="Q72" s="88">
        <f t="shared" si="21"/>
        <v>0.19400945874934317</v>
      </c>
      <c r="R72" s="88">
        <f t="shared" si="22"/>
        <v>0.25221229637414611</v>
      </c>
      <c r="S72" s="88">
        <v>0.37</v>
      </c>
      <c r="T72" s="88">
        <f t="shared" si="23"/>
        <v>0.48099999999999998</v>
      </c>
      <c r="U72" s="83">
        <v>26.6</v>
      </c>
      <c r="V72" s="85">
        <f t="shared" si="19"/>
        <v>34.580000000000005</v>
      </c>
      <c r="W72" s="78"/>
      <c r="X72" s="77">
        <v>45</v>
      </c>
      <c r="Y72" s="77">
        <v>90</v>
      </c>
      <c r="Z72" s="77" t="s">
        <v>607</v>
      </c>
      <c r="AA72" s="77">
        <v>14992</v>
      </c>
      <c r="AB72" s="77">
        <v>15138</v>
      </c>
      <c r="AC72" s="77">
        <v>6832</v>
      </c>
      <c r="AD72" s="77"/>
      <c r="AE72" s="77">
        <v>8306</v>
      </c>
      <c r="AF72" s="77"/>
      <c r="AG72" s="77"/>
      <c r="AH72" s="77"/>
      <c r="AI72" s="77"/>
      <c r="AJ72" s="77">
        <v>6666.7</v>
      </c>
      <c r="AK72" s="77"/>
      <c r="AL72" s="77"/>
      <c r="AM72" s="77">
        <v>1458</v>
      </c>
      <c r="AN72" s="77"/>
      <c r="AO72" s="77"/>
      <c r="AP72" s="77"/>
      <c r="AQ72" s="77"/>
      <c r="AR72" s="77"/>
      <c r="AS72" s="77"/>
      <c r="AT72" s="77">
        <v>1313</v>
      </c>
      <c r="AU72" s="77"/>
      <c r="AV72" s="77">
        <v>695.1</v>
      </c>
      <c r="AW72" s="77">
        <v>687.2</v>
      </c>
      <c r="AX72" s="77"/>
      <c r="AY72" s="77"/>
      <c r="AZ72" s="77">
        <v>73</v>
      </c>
      <c r="BA72" s="77"/>
      <c r="BB72" s="77">
        <v>53.6</v>
      </c>
      <c r="BC72" s="77"/>
      <c r="BD72" s="79">
        <v>7</v>
      </c>
      <c r="BE72" s="77">
        <v>7.9</v>
      </c>
    </row>
    <row r="73" spans="1:57" s="31" customFormat="1">
      <c r="A73" s="152"/>
      <c r="B73" s="50" t="s">
        <v>608</v>
      </c>
      <c r="C73" s="76">
        <v>0</v>
      </c>
      <c r="D73" s="76" t="s">
        <v>612</v>
      </c>
      <c r="E73" s="76">
        <v>10</v>
      </c>
      <c r="F73" s="76">
        <v>7</v>
      </c>
      <c r="G73" s="76">
        <v>2</v>
      </c>
      <c r="H73" s="76">
        <v>497</v>
      </c>
      <c r="I73" s="76">
        <v>54</v>
      </c>
      <c r="J73" s="77">
        <v>24</v>
      </c>
      <c r="K73" s="77">
        <v>8</v>
      </c>
      <c r="L73" s="76">
        <v>10.5</v>
      </c>
      <c r="M73" s="76">
        <v>71</v>
      </c>
      <c r="N73" s="76"/>
      <c r="O73" s="83">
        <v>40.200000000000003</v>
      </c>
      <c r="P73" s="83">
        <f t="shared" si="20"/>
        <v>52.260000000000005</v>
      </c>
      <c r="Q73" s="88">
        <f t="shared" si="21"/>
        <v>0.19497950604308989</v>
      </c>
      <c r="R73" s="88">
        <f t="shared" si="22"/>
        <v>0.25347335785601688</v>
      </c>
      <c r="S73" s="88">
        <v>0.36</v>
      </c>
      <c r="T73" s="88">
        <f t="shared" si="23"/>
        <v>0.46799999999999997</v>
      </c>
      <c r="U73" s="83">
        <v>26.8</v>
      </c>
      <c r="V73" s="85">
        <f t="shared" si="19"/>
        <v>34.840000000000003</v>
      </c>
      <c r="W73" s="78"/>
      <c r="X73" s="77">
        <v>45</v>
      </c>
      <c r="Y73" s="77">
        <v>90</v>
      </c>
      <c r="Z73" s="77" t="s">
        <v>607</v>
      </c>
      <c r="AA73" s="77">
        <v>14966</v>
      </c>
      <c r="AB73" s="77">
        <v>15091</v>
      </c>
      <c r="AC73" s="77">
        <v>6811</v>
      </c>
      <c r="AD73" s="77"/>
      <c r="AE73" s="77">
        <v>8281</v>
      </c>
      <c r="AF73" s="77"/>
      <c r="AG73" s="77"/>
      <c r="AH73" s="77"/>
      <c r="AI73" s="77"/>
      <c r="AJ73" s="77">
        <v>6666.7</v>
      </c>
      <c r="AK73" s="77"/>
      <c r="AL73" s="77"/>
      <c r="AM73" s="77">
        <v>1250</v>
      </c>
      <c r="AN73" s="77"/>
      <c r="AO73" s="77"/>
      <c r="AP73" s="77"/>
      <c r="AQ73" s="77"/>
      <c r="AR73" s="77"/>
      <c r="AS73" s="77"/>
      <c r="AT73" s="77">
        <v>1125</v>
      </c>
      <c r="AU73" s="77"/>
      <c r="AV73" s="77">
        <v>709.1</v>
      </c>
      <c r="AW73" s="77">
        <v>701.1</v>
      </c>
      <c r="AX73" s="77"/>
      <c r="AY73" s="77"/>
      <c r="AZ73" s="77">
        <v>66</v>
      </c>
      <c r="BA73" s="77"/>
      <c r="BB73" s="77">
        <v>49.6</v>
      </c>
      <c r="BC73" s="77"/>
      <c r="BD73" s="79">
        <v>7</v>
      </c>
      <c r="BE73" s="77">
        <v>6.7</v>
      </c>
    </row>
    <row r="74" spans="1:57" s="31" customFormat="1">
      <c r="A74" s="152"/>
      <c r="B74" s="50" t="s">
        <v>608</v>
      </c>
      <c r="C74" s="76">
        <v>0</v>
      </c>
      <c r="D74" s="76" t="s">
        <v>612</v>
      </c>
      <c r="E74" s="76">
        <v>8</v>
      </c>
      <c r="F74" s="76">
        <v>7</v>
      </c>
      <c r="G74" s="76">
        <v>2</v>
      </c>
      <c r="H74" s="76">
        <v>497</v>
      </c>
      <c r="I74" s="76">
        <v>54</v>
      </c>
      <c r="J74" s="77">
        <v>24</v>
      </c>
      <c r="K74" s="77">
        <v>8</v>
      </c>
      <c r="L74" s="76">
        <v>10.5</v>
      </c>
      <c r="M74" s="76">
        <v>71</v>
      </c>
      <c r="N74" s="76"/>
      <c r="O74" s="83">
        <v>40</v>
      </c>
      <c r="P74" s="83">
        <f t="shared" si="20"/>
        <v>52</v>
      </c>
      <c r="Q74" s="88">
        <f t="shared" si="21"/>
        <v>0.19400945874934317</v>
      </c>
      <c r="R74" s="88">
        <f t="shared" si="22"/>
        <v>0.25221229637414611</v>
      </c>
      <c r="S74" s="88">
        <v>0.35</v>
      </c>
      <c r="T74" s="88">
        <f t="shared" si="23"/>
        <v>0.45499999999999996</v>
      </c>
      <c r="U74" s="83">
        <v>26.6</v>
      </c>
      <c r="V74" s="85">
        <f t="shared" si="19"/>
        <v>34.580000000000005</v>
      </c>
      <c r="W74" s="78"/>
      <c r="X74" s="77">
        <v>45</v>
      </c>
      <c r="Y74" s="77">
        <v>90</v>
      </c>
      <c r="Z74" s="77" t="s">
        <v>607</v>
      </c>
      <c r="AA74" s="77">
        <v>14941</v>
      </c>
      <c r="AB74" s="77">
        <v>15045</v>
      </c>
      <c r="AC74" s="77">
        <v>6790</v>
      </c>
      <c r="AD74" s="77"/>
      <c r="AE74" s="77">
        <v>8255</v>
      </c>
      <c r="AF74" s="77"/>
      <c r="AG74" s="77"/>
      <c r="AH74" s="77"/>
      <c r="AI74" s="77"/>
      <c r="AJ74" s="77">
        <v>6666.7</v>
      </c>
      <c r="AK74" s="77"/>
      <c r="AL74" s="77"/>
      <c r="AM74" s="77">
        <v>1042</v>
      </c>
      <c r="AN74" s="77"/>
      <c r="AO74" s="77"/>
      <c r="AP74" s="77"/>
      <c r="AQ74" s="77"/>
      <c r="AR74" s="77"/>
      <c r="AS74" s="77"/>
      <c r="AT74" s="77">
        <v>938</v>
      </c>
      <c r="AU74" s="77"/>
      <c r="AV74" s="77">
        <v>726.6</v>
      </c>
      <c r="AW74" s="77">
        <v>718.6</v>
      </c>
      <c r="AX74" s="77"/>
      <c r="AY74" s="77"/>
      <c r="AZ74" s="77">
        <v>58.3</v>
      </c>
      <c r="BA74" s="77"/>
      <c r="BB74" s="77">
        <v>44.9</v>
      </c>
      <c r="BC74" s="77"/>
      <c r="BD74" s="79">
        <v>7</v>
      </c>
      <c r="BE74" s="77">
        <v>5.6</v>
      </c>
    </row>
    <row r="75" spans="1:57" s="31" customFormat="1">
      <c r="A75" s="152"/>
      <c r="B75" s="50"/>
      <c r="C75" s="76"/>
      <c r="D75" s="76"/>
      <c r="E75" s="76"/>
      <c r="F75" s="76"/>
      <c r="G75" s="76"/>
      <c r="H75" s="76"/>
      <c r="I75" s="76"/>
      <c r="J75" s="77"/>
      <c r="K75" s="77"/>
      <c r="L75" s="76"/>
      <c r="M75" s="76"/>
      <c r="N75" s="76"/>
      <c r="O75" s="83"/>
      <c r="P75" s="83">
        <f t="shared" si="20"/>
        <v>0</v>
      </c>
      <c r="Q75" s="88" t="s">
        <v>46</v>
      </c>
      <c r="R75" s="88" t="s">
        <v>46</v>
      </c>
      <c r="S75" s="88"/>
      <c r="T75" s="88">
        <f t="shared" si="23"/>
        <v>0</v>
      </c>
      <c r="U75" s="83"/>
      <c r="V75" s="85">
        <f t="shared" si="19"/>
        <v>0</v>
      </c>
      <c r="W75" s="78"/>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9"/>
      <c r="BE75" s="77"/>
    </row>
    <row r="76" spans="1:57" s="31" customFormat="1">
      <c r="A76" s="151"/>
      <c r="B76" s="32" t="s">
        <v>608</v>
      </c>
      <c r="C76" s="109">
        <v>0</v>
      </c>
      <c r="D76" s="109" t="s">
        <v>611</v>
      </c>
      <c r="E76" s="109">
        <v>18</v>
      </c>
      <c r="F76" s="109">
        <v>7</v>
      </c>
      <c r="G76" s="109">
        <v>2</v>
      </c>
      <c r="H76" s="109">
        <v>497</v>
      </c>
      <c r="I76" s="109">
        <v>54</v>
      </c>
      <c r="J76" s="110">
        <v>24</v>
      </c>
      <c r="K76" s="110">
        <v>8</v>
      </c>
      <c r="L76" s="109">
        <v>10.5</v>
      </c>
      <c r="M76" s="109">
        <v>63</v>
      </c>
      <c r="N76" s="109"/>
      <c r="O76" s="111">
        <v>35.700000000000003</v>
      </c>
      <c r="P76" s="111">
        <f t="shared" si="20"/>
        <v>46.410000000000004</v>
      </c>
      <c r="Q76" s="112">
        <f t="shared" ref="Q76:Q83" si="24">IF(D76="Max",O76/21000*110*$R$98,O76/19030*71*$R$98)</f>
        <v>0.17315344193378879</v>
      </c>
      <c r="R76" s="113">
        <f t="shared" ref="R76:R83" si="25">IF(C76=0,$R$8*Q76,$R$9*Q76)</f>
        <v>0.22509947451392542</v>
      </c>
      <c r="S76" s="113">
        <v>0.38</v>
      </c>
      <c r="T76" s="114">
        <f t="shared" si="23"/>
        <v>0.49400000000000005</v>
      </c>
      <c r="U76" s="111">
        <v>23.8</v>
      </c>
      <c r="V76" s="111">
        <f t="shared" si="19"/>
        <v>30.94</v>
      </c>
      <c r="W76" s="115"/>
      <c r="X76" s="110">
        <v>45</v>
      </c>
      <c r="Y76" s="110">
        <v>90</v>
      </c>
      <c r="Z76" s="110" t="s">
        <v>607</v>
      </c>
      <c r="AA76" s="110">
        <v>15060</v>
      </c>
      <c r="AB76" s="110">
        <v>15261</v>
      </c>
      <c r="AC76" s="110">
        <v>6888</v>
      </c>
      <c r="AD76" s="110"/>
      <c r="AE76" s="110">
        <v>8374</v>
      </c>
      <c r="AF76" s="110"/>
      <c r="AG76" s="110"/>
      <c r="AH76" s="110"/>
      <c r="AI76" s="110"/>
      <c r="AJ76" s="110">
        <v>6666.7</v>
      </c>
      <c r="AK76" s="110"/>
      <c r="AL76" s="110"/>
      <c r="AM76" s="110">
        <v>2013.9</v>
      </c>
      <c r="AN76" s="110"/>
      <c r="AO76" s="110"/>
      <c r="AP76" s="110"/>
      <c r="AQ76" s="110"/>
      <c r="AR76" s="110"/>
      <c r="AS76" s="110"/>
      <c r="AT76" s="110">
        <v>1813</v>
      </c>
      <c r="AU76" s="110"/>
      <c r="AV76" s="110">
        <v>591.5</v>
      </c>
      <c r="AW76" s="110">
        <v>583.6</v>
      </c>
      <c r="AX76" s="110"/>
      <c r="AY76" s="110"/>
      <c r="AZ76" s="110">
        <v>86.1</v>
      </c>
      <c r="BA76" s="110"/>
      <c r="BB76" s="110">
        <v>57.7</v>
      </c>
      <c r="BC76" s="110"/>
      <c r="BD76" s="73">
        <v>7.1</v>
      </c>
      <c r="BE76" s="110">
        <v>10.9</v>
      </c>
    </row>
    <row r="77" spans="1:57" s="106" customFormat="1">
      <c r="A77" s="152"/>
      <c r="B77" s="50" t="s">
        <v>608</v>
      </c>
      <c r="C77" s="76">
        <v>0</v>
      </c>
      <c r="D77" s="76" t="s">
        <v>611</v>
      </c>
      <c r="E77" s="76">
        <v>18</v>
      </c>
      <c r="F77" s="76">
        <v>7</v>
      </c>
      <c r="G77" s="76">
        <v>2</v>
      </c>
      <c r="H77" s="76">
        <v>497</v>
      </c>
      <c r="I77" s="76">
        <v>54</v>
      </c>
      <c r="J77" s="77">
        <v>24</v>
      </c>
      <c r="K77" s="77">
        <v>8</v>
      </c>
      <c r="L77" s="76">
        <v>10.5</v>
      </c>
      <c r="M77" s="76">
        <v>95.5</v>
      </c>
      <c r="N77" s="76"/>
      <c r="O77" s="83">
        <v>53.8</v>
      </c>
      <c r="P77" s="83">
        <f t="shared" si="20"/>
        <v>69.94</v>
      </c>
      <c r="Q77" s="88">
        <f t="shared" si="24"/>
        <v>0.26094272201786656</v>
      </c>
      <c r="R77" s="88">
        <f t="shared" si="25"/>
        <v>0.33922553862322652</v>
      </c>
      <c r="S77" s="88">
        <v>0.53</v>
      </c>
      <c r="T77" s="89">
        <f t="shared" si="23"/>
        <v>0.68900000000000006</v>
      </c>
      <c r="U77" s="83">
        <v>35.9</v>
      </c>
      <c r="V77" s="83">
        <f t="shared" si="19"/>
        <v>46.67</v>
      </c>
      <c r="W77" s="78"/>
      <c r="X77" s="77">
        <v>45</v>
      </c>
      <c r="Y77" s="77">
        <v>90</v>
      </c>
      <c r="Z77" s="77" t="s">
        <v>607</v>
      </c>
      <c r="AA77" s="77">
        <v>14932</v>
      </c>
      <c r="AB77" s="77">
        <v>15030</v>
      </c>
      <c r="AC77" s="77">
        <v>6783.4</v>
      </c>
      <c r="AD77" s="77"/>
      <c r="AE77" s="77">
        <v>8246.7000000000007</v>
      </c>
      <c r="AF77" s="77"/>
      <c r="AG77" s="77"/>
      <c r="AH77" s="77"/>
      <c r="AI77" s="77"/>
      <c r="AJ77" s="77">
        <v>6666.7</v>
      </c>
      <c r="AK77" s="77"/>
      <c r="AL77" s="77"/>
      <c r="AM77" s="77">
        <v>972.2</v>
      </c>
      <c r="AN77" s="77"/>
      <c r="AO77" s="77"/>
      <c r="AP77" s="77"/>
      <c r="AQ77" s="77"/>
      <c r="AR77" s="77"/>
      <c r="AS77" s="77"/>
      <c r="AT77" s="77">
        <v>875</v>
      </c>
      <c r="AU77" s="77"/>
      <c r="AV77" s="77">
        <v>592.70000000000005</v>
      </c>
      <c r="AW77" s="77">
        <v>584.9</v>
      </c>
      <c r="AX77" s="77"/>
      <c r="AY77" s="77"/>
      <c r="AZ77" s="77">
        <v>49.7</v>
      </c>
      <c r="BA77" s="77"/>
      <c r="BB77" s="77">
        <v>39.200000000000003</v>
      </c>
      <c r="BC77" s="77"/>
      <c r="BD77" s="74">
        <v>7</v>
      </c>
      <c r="BE77" s="77">
        <v>5.2</v>
      </c>
    </row>
    <row r="78" spans="1:57" s="31" customFormat="1">
      <c r="A78" s="151"/>
      <c r="B78" s="32" t="s">
        <v>608</v>
      </c>
      <c r="C78" s="109">
        <v>0</v>
      </c>
      <c r="D78" s="109" t="s">
        <v>611</v>
      </c>
      <c r="E78" s="109">
        <v>15</v>
      </c>
      <c r="F78" s="109">
        <v>7</v>
      </c>
      <c r="G78" s="109">
        <v>2</v>
      </c>
      <c r="H78" s="109">
        <v>497</v>
      </c>
      <c r="I78" s="109">
        <v>54</v>
      </c>
      <c r="J78" s="110">
        <v>24</v>
      </c>
      <c r="K78" s="110">
        <v>8</v>
      </c>
      <c r="L78" s="109">
        <v>10.5</v>
      </c>
      <c r="M78" s="109">
        <v>68</v>
      </c>
      <c r="N78" s="109"/>
      <c r="O78" s="111">
        <v>38.299999999999997</v>
      </c>
      <c r="P78" s="111">
        <f t="shared" si="20"/>
        <v>49.79</v>
      </c>
      <c r="Q78" s="112">
        <f t="shared" si="24"/>
        <v>0.18576405675249608</v>
      </c>
      <c r="R78" s="113">
        <f t="shared" si="25"/>
        <v>0.24149327377824489</v>
      </c>
      <c r="S78" s="113">
        <v>0.38</v>
      </c>
      <c r="T78" s="114">
        <f t="shared" si="23"/>
        <v>0.49400000000000005</v>
      </c>
      <c r="U78" s="111">
        <v>25.6</v>
      </c>
      <c r="V78" s="111">
        <f t="shared" si="19"/>
        <v>33.28</v>
      </c>
      <c r="W78" s="115"/>
      <c r="X78" s="110">
        <v>45</v>
      </c>
      <c r="Y78" s="110">
        <v>90</v>
      </c>
      <c r="Z78" s="110" t="s">
        <v>607</v>
      </c>
      <c r="AA78" s="110">
        <v>15000</v>
      </c>
      <c r="AB78" s="110">
        <v>15153</v>
      </c>
      <c r="AC78" s="110">
        <v>6839</v>
      </c>
      <c r="AD78" s="110"/>
      <c r="AE78" s="110">
        <v>8314</v>
      </c>
      <c r="AF78" s="110"/>
      <c r="AG78" s="110"/>
      <c r="AH78" s="110"/>
      <c r="AI78" s="110"/>
      <c r="AJ78" s="110">
        <v>6666.7</v>
      </c>
      <c r="AK78" s="110"/>
      <c r="AL78" s="110"/>
      <c r="AM78" s="110">
        <v>1528</v>
      </c>
      <c r="AN78" s="110"/>
      <c r="AO78" s="110"/>
      <c r="AP78" s="110"/>
      <c r="AQ78" s="110"/>
      <c r="AR78" s="110"/>
      <c r="AS78" s="110"/>
      <c r="AT78" s="110">
        <v>1375</v>
      </c>
      <c r="AU78" s="110"/>
      <c r="AV78" s="110">
        <v>602.79999999999995</v>
      </c>
      <c r="AW78" s="110">
        <v>594.9</v>
      </c>
      <c r="AX78" s="110"/>
      <c r="AY78" s="110"/>
      <c r="AZ78" s="110">
        <v>70.8</v>
      </c>
      <c r="BA78" s="110"/>
      <c r="BB78" s="110">
        <v>50.5</v>
      </c>
      <c r="BC78" s="110"/>
      <c r="BD78" s="73">
        <v>7.1</v>
      </c>
      <c r="BE78" s="110">
        <v>8.1999999999999993</v>
      </c>
    </row>
    <row r="79" spans="1:57" s="106" customFormat="1">
      <c r="A79" s="151"/>
      <c r="B79" s="50" t="s">
        <v>608</v>
      </c>
      <c r="C79" s="76">
        <v>0</v>
      </c>
      <c r="D79" s="76" t="s">
        <v>611</v>
      </c>
      <c r="E79" s="76">
        <v>15</v>
      </c>
      <c r="F79" s="76">
        <v>7</v>
      </c>
      <c r="G79" s="76">
        <v>2</v>
      </c>
      <c r="H79" s="76">
        <v>497</v>
      </c>
      <c r="I79" s="76">
        <v>54</v>
      </c>
      <c r="J79" s="77">
        <v>24</v>
      </c>
      <c r="K79" s="77">
        <v>8</v>
      </c>
      <c r="L79" s="76">
        <v>10.5</v>
      </c>
      <c r="M79" s="76">
        <v>102.4</v>
      </c>
      <c r="N79" s="76"/>
      <c r="O79" s="83">
        <v>38.5</v>
      </c>
      <c r="P79" s="83">
        <f t="shared" si="20"/>
        <v>50.050000000000004</v>
      </c>
      <c r="Q79" s="88">
        <f t="shared" si="24"/>
        <v>0.18673410404624277</v>
      </c>
      <c r="R79" s="88">
        <f t="shared" si="25"/>
        <v>0.24275433526011561</v>
      </c>
      <c r="S79" s="88">
        <v>0.53</v>
      </c>
      <c r="T79" s="88">
        <f t="shared" si="23"/>
        <v>0.68900000000000006</v>
      </c>
      <c r="U79" s="83">
        <v>38.5</v>
      </c>
      <c r="V79" s="83">
        <f t="shared" si="19"/>
        <v>50.050000000000004</v>
      </c>
      <c r="W79" s="78"/>
      <c r="X79" s="77">
        <v>45</v>
      </c>
      <c r="Y79" s="77">
        <v>90</v>
      </c>
      <c r="Z79" s="77" t="s">
        <v>607</v>
      </c>
      <c r="AA79" s="77">
        <v>14881</v>
      </c>
      <c r="AB79" s="77">
        <v>14937</v>
      </c>
      <c r="AC79" s="77">
        <v>6741.6</v>
      </c>
      <c r="AD79" s="77"/>
      <c r="AE79" s="77">
        <v>8195.9</v>
      </c>
      <c r="AF79" s="77"/>
      <c r="AG79" s="77"/>
      <c r="AH79" s="77"/>
      <c r="AI79" s="77"/>
      <c r="AJ79" s="77">
        <v>6666.7</v>
      </c>
      <c r="AK79" s="77"/>
      <c r="AL79" s="77"/>
      <c r="AM79" s="77">
        <v>555.6</v>
      </c>
      <c r="AN79" s="77"/>
      <c r="AO79" s="77"/>
      <c r="AP79" s="77"/>
      <c r="AQ79" s="77"/>
      <c r="AR79" s="77"/>
      <c r="AS79" s="77"/>
      <c r="AT79" s="77">
        <v>500</v>
      </c>
      <c r="AU79" s="77"/>
      <c r="AV79" s="77">
        <v>603.6</v>
      </c>
      <c r="AW79" s="77">
        <v>598.6</v>
      </c>
      <c r="AX79" s="77"/>
      <c r="AY79" s="77"/>
      <c r="AZ79" s="77">
        <v>36.4</v>
      </c>
      <c r="BA79" s="77"/>
      <c r="BB79" s="77">
        <v>30.5</v>
      </c>
      <c r="BC79" s="77"/>
      <c r="BD79" s="120">
        <v>7</v>
      </c>
      <c r="BE79" s="77">
        <v>3</v>
      </c>
    </row>
    <row r="80" spans="1:57" s="106" customFormat="1">
      <c r="A80" s="151"/>
      <c r="B80" s="50" t="s">
        <v>608</v>
      </c>
      <c r="C80" s="76">
        <v>0</v>
      </c>
      <c r="D80" s="76" t="s">
        <v>611</v>
      </c>
      <c r="E80" s="76">
        <v>13</v>
      </c>
      <c r="F80" s="76">
        <v>7</v>
      </c>
      <c r="G80" s="76">
        <v>2</v>
      </c>
      <c r="H80" s="76">
        <v>497</v>
      </c>
      <c r="I80" s="76">
        <v>54</v>
      </c>
      <c r="J80" s="77">
        <v>24</v>
      </c>
      <c r="K80" s="77">
        <v>8</v>
      </c>
      <c r="L80" s="76">
        <v>10.5</v>
      </c>
      <c r="M80" s="76">
        <v>106.1</v>
      </c>
      <c r="N80" s="76"/>
      <c r="O80" s="83">
        <v>59.9</v>
      </c>
      <c r="P80" s="83">
        <f t="shared" si="20"/>
        <v>77.87</v>
      </c>
      <c r="Q80" s="88">
        <f t="shared" si="24"/>
        <v>0.29052916447714133</v>
      </c>
      <c r="R80" s="88">
        <f t="shared" si="25"/>
        <v>0.37768791382028377</v>
      </c>
      <c r="S80" s="88">
        <v>0.52</v>
      </c>
      <c r="T80" s="88">
        <f t="shared" si="23"/>
        <v>0.67600000000000005</v>
      </c>
      <c r="U80" s="83">
        <v>39.9</v>
      </c>
      <c r="V80" s="83">
        <f t="shared" si="19"/>
        <v>51.87</v>
      </c>
      <c r="W80" s="78"/>
      <c r="X80" s="77">
        <v>45</v>
      </c>
      <c r="Y80" s="77">
        <v>90</v>
      </c>
      <c r="Z80" s="77" t="s">
        <v>607</v>
      </c>
      <c r="AA80" s="77">
        <v>14848</v>
      </c>
      <c r="AB80" s="77">
        <v>14875</v>
      </c>
      <c r="AC80" s="77">
        <v>6713.3</v>
      </c>
      <c r="AD80" s="77"/>
      <c r="AE80" s="77">
        <v>8162</v>
      </c>
      <c r="AF80" s="77"/>
      <c r="AG80" s="77"/>
      <c r="AH80" s="77"/>
      <c r="AI80" s="77"/>
      <c r="AJ80" s="77">
        <v>6666.7</v>
      </c>
      <c r="AK80" s="77"/>
      <c r="AL80" s="77"/>
      <c r="AM80" s="77">
        <v>277.8</v>
      </c>
      <c r="AN80" s="77"/>
      <c r="AO80" s="77"/>
      <c r="AP80" s="77"/>
      <c r="AQ80" s="77"/>
      <c r="AR80" s="77"/>
      <c r="AS80" s="77"/>
      <c r="AT80" s="77">
        <v>250</v>
      </c>
      <c r="AU80" s="77"/>
      <c r="AV80" s="77">
        <v>613.29999999999995</v>
      </c>
      <c r="AW80" s="77">
        <v>605.5</v>
      </c>
      <c r="AX80" s="77"/>
      <c r="AY80" s="77"/>
      <c r="AZ80" s="77">
        <v>25.6</v>
      </c>
      <c r="BA80" s="77"/>
      <c r="BB80" s="77">
        <v>21.7</v>
      </c>
      <c r="BC80" s="77"/>
      <c r="BD80" s="120">
        <v>6.9</v>
      </c>
      <c r="BE80" s="77">
        <v>1.5</v>
      </c>
    </row>
    <row r="81" spans="1:57" s="31" customFormat="1">
      <c r="A81" s="152"/>
      <c r="B81" s="50" t="s">
        <v>608</v>
      </c>
      <c r="C81" s="76">
        <v>0</v>
      </c>
      <c r="D81" s="76" t="s">
        <v>611</v>
      </c>
      <c r="E81" s="76">
        <v>12</v>
      </c>
      <c r="F81" s="76">
        <v>7</v>
      </c>
      <c r="G81" s="76">
        <v>2</v>
      </c>
      <c r="H81" s="76">
        <v>497</v>
      </c>
      <c r="I81" s="76">
        <v>54</v>
      </c>
      <c r="J81" s="77">
        <v>24</v>
      </c>
      <c r="K81" s="77">
        <v>8</v>
      </c>
      <c r="L81" s="76">
        <v>10.5</v>
      </c>
      <c r="M81" s="76">
        <v>71</v>
      </c>
      <c r="N81" s="76"/>
      <c r="O81" s="83">
        <v>40.200000000000003</v>
      </c>
      <c r="P81" s="83">
        <f t="shared" si="20"/>
        <v>52.260000000000005</v>
      </c>
      <c r="Q81" s="88">
        <f t="shared" si="24"/>
        <v>0.19497950604308989</v>
      </c>
      <c r="R81" s="88">
        <f t="shared" si="25"/>
        <v>0.25347335785601688</v>
      </c>
      <c r="S81" s="88">
        <v>0.38</v>
      </c>
      <c r="T81" s="89">
        <f t="shared" si="23"/>
        <v>0.49400000000000005</v>
      </c>
      <c r="U81" s="83">
        <v>26.8</v>
      </c>
      <c r="V81" s="83">
        <f t="shared" si="19"/>
        <v>34.840000000000003</v>
      </c>
      <c r="W81" s="78"/>
      <c r="X81" s="77">
        <v>45</v>
      </c>
      <c r="Y81" s="77">
        <v>90</v>
      </c>
      <c r="Z81" s="77" t="s">
        <v>607</v>
      </c>
      <c r="AA81" s="77">
        <v>14949</v>
      </c>
      <c r="AB81" s="77">
        <v>15060</v>
      </c>
      <c r="AC81" s="77">
        <v>6797</v>
      </c>
      <c r="AD81" s="77"/>
      <c r="AE81" s="77">
        <v>8264</v>
      </c>
      <c r="AF81" s="77"/>
      <c r="AG81" s="77"/>
      <c r="AH81" s="77"/>
      <c r="AI81" s="77"/>
      <c r="AJ81" s="77">
        <v>6666.7</v>
      </c>
      <c r="AK81" s="77"/>
      <c r="AL81" s="77"/>
      <c r="AM81" s="77">
        <v>1111</v>
      </c>
      <c r="AN81" s="77"/>
      <c r="AO81" s="77"/>
      <c r="AP81" s="77"/>
      <c r="AQ81" s="77"/>
      <c r="AR81" s="77"/>
      <c r="AS81" s="77"/>
      <c r="AT81" s="77">
        <v>1000</v>
      </c>
      <c r="AU81" s="77"/>
      <c r="AV81" s="77">
        <v>618.70000000000005</v>
      </c>
      <c r="AW81" s="77">
        <v>610.79999999999995</v>
      </c>
      <c r="AX81" s="77"/>
      <c r="AY81" s="77"/>
      <c r="AZ81" s="77">
        <v>56.3</v>
      </c>
      <c r="BA81" s="77"/>
      <c r="BB81" s="77">
        <v>42.3</v>
      </c>
      <c r="BC81" s="77"/>
      <c r="BD81" s="79">
        <v>7</v>
      </c>
      <c r="BE81" s="77" t="s">
        <v>46</v>
      </c>
    </row>
    <row r="82" spans="1:57" s="31" customFormat="1">
      <c r="A82" s="152"/>
      <c r="B82" s="50" t="s">
        <v>608</v>
      </c>
      <c r="C82" s="76">
        <v>0</v>
      </c>
      <c r="D82" s="76" t="s">
        <v>611</v>
      </c>
      <c r="E82" s="76">
        <v>10</v>
      </c>
      <c r="F82" s="76">
        <v>7</v>
      </c>
      <c r="G82" s="76">
        <v>2</v>
      </c>
      <c r="H82" s="76">
        <v>497</v>
      </c>
      <c r="I82" s="76">
        <v>54</v>
      </c>
      <c r="J82" s="77">
        <v>24</v>
      </c>
      <c r="K82" s="77">
        <v>8</v>
      </c>
      <c r="L82" s="76">
        <v>10.5</v>
      </c>
      <c r="M82" s="76">
        <v>72</v>
      </c>
      <c r="N82" s="76"/>
      <c r="O82" s="83">
        <v>40.299999999999997</v>
      </c>
      <c r="P82" s="83">
        <f t="shared" si="20"/>
        <v>52.39</v>
      </c>
      <c r="Q82" s="88">
        <f t="shared" si="24"/>
        <v>0.1954645296899632</v>
      </c>
      <c r="R82" s="88">
        <f t="shared" si="25"/>
        <v>0.25410388859695215</v>
      </c>
      <c r="S82" s="88">
        <v>0.36</v>
      </c>
      <c r="T82" s="88">
        <f t="shared" si="23"/>
        <v>0.46799999999999997</v>
      </c>
      <c r="U82" s="83">
        <v>26.9</v>
      </c>
      <c r="V82" s="85">
        <f t="shared" si="19"/>
        <v>34.97</v>
      </c>
      <c r="W82" s="78"/>
      <c r="X82" s="77">
        <v>45</v>
      </c>
      <c r="Y82" s="77">
        <v>90</v>
      </c>
      <c r="Z82" s="77" t="s">
        <v>607</v>
      </c>
      <c r="AA82" s="77">
        <v>14924</v>
      </c>
      <c r="AB82" s="77">
        <v>15014</v>
      </c>
      <c r="AC82" s="77">
        <v>6776</v>
      </c>
      <c r="AD82" s="77"/>
      <c r="AE82" s="77">
        <v>8238</v>
      </c>
      <c r="AF82" s="77"/>
      <c r="AG82" s="77"/>
      <c r="AH82" s="77"/>
      <c r="AI82" s="77"/>
      <c r="AJ82" s="77">
        <v>6666.7</v>
      </c>
      <c r="AK82" s="77"/>
      <c r="AL82" s="77"/>
      <c r="AM82" s="77">
        <v>903</v>
      </c>
      <c r="AN82" s="77"/>
      <c r="AO82" s="77"/>
      <c r="AP82" s="77"/>
      <c r="AQ82" s="77"/>
      <c r="AR82" s="77"/>
      <c r="AS82" s="77"/>
      <c r="AT82" s="77">
        <v>813</v>
      </c>
      <c r="AU82" s="77"/>
      <c r="AV82" s="77">
        <v>632.70000000000005</v>
      </c>
      <c r="AW82" s="77">
        <v>624.70000000000005</v>
      </c>
      <c r="AX82" s="77"/>
      <c r="AY82" s="77"/>
      <c r="AZ82" s="77">
        <v>48.6</v>
      </c>
      <c r="BA82" s="77"/>
      <c r="BB82" s="77">
        <v>37.299999999999997</v>
      </c>
      <c r="BC82" s="77"/>
      <c r="BD82" s="79">
        <v>7</v>
      </c>
      <c r="BE82" s="77">
        <v>4.9000000000000004</v>
      </c>
    </row>
    <row r="83" spans="1:57" s="31" customFormat="1">
      <c r="A83" s="152"/>
      <c r="B83" s="50" t="s">
        <v>608</v>
      </c>
      <c r="C83" s="76">
        <v>0</v>
      </c>
      <c r="D83" s="76" t="s">
        <v>611</v>
      </c>
      <c r="E83" s="76">
        <v>8</v>
      </c>
      <c r="F83" s="76">
        <v>7</v>
      </c>
      <c r="G83" s="76">
        <v>2</v>
      </c>
      <c r="H83" s="76">
        <v>497</v>
      </c>
      <c r="I83" s="76">
        <v>54</v>
      </c>
      <c r="J83" s="77">
        <v>24</v>
      </c>
      <c r="K83" s="77">
        <v>8</v>
      </c>
      <c r="L83" s="76">
        <v>10.5</v>
      </c>
      <c r="M83" s="76">
        <v>73</v>
      </c>
      <c r="N83" s="76"/>
      <c r="O83" s="83">
        <v>41</v>
      </c>
      <c r="P83" s="83">
        <f t="shared" si="20"/>
        <v>53.300000000000004</v>
      </c>
      <c r="Q83" s="88">
        <f t="shared" si="24"/>
        <v>0.19885969521807673</v>
      </c>
      <c r="R83" s="88">
        <f t="shared" si="25"/>
        <v>0.25851760378349975</v>
      </c>
      <c r="S83" s="88">
        <v>0.36</v>
      </c>
      <c r="T83" s="88">
        <f t="shared" si="23"/>
        <v>0.46799999999999997</v>
      </c>
      <c r="U83" s="83">
        <v>27.4</v>
      </c>
      <c r="V83" s="85">
        <f t="shared" si="19"/>
        <v>35.619999999999997</v>
      </c>
      <c r="W83" s="78"/>
      <c r="X83" s="77">
        <v>45</v>
      </c>
      <c r="Y83" s="77">
        <v>90</v>
      </c>
      <c r="Z83" s="77" t="s">
        <v>607</v>
      </c>
      <c r="AA83" s="77">
        <v>14980</v>
      </c>
      <c r="AB83" s="77">
        <v>14952</v>
      </c>
      <c r="AC83" s="77">
        <v>6749</v>
      </c>
      <c r="AD83" s="77"/>
      <c r="AE83" s="77">
        <v>8204</v>
      </c>
      <c r="AF83" s="77"/>
      <c r="AG83" s="77"/>
      <c r="AH83" s="77"/>
      <c r="AI83" s="77"/>
      <c r="AJ83" s="77">
        <v>6666.7</v>
      </c>
      <c r="AK83" s="77"/>
      <c r="AL83" s="77"/>
      <c r="AM83" s="77">
        <v>625</v>
      </c>
      <c r="AN83" s="77"/>
      <c r="AO83" s="77"/>
      <c r="AP83" s="77"/>
      <c r="AQ83" s="77"/>
      <c r="AR83" s="77"/>
      <c r="AS83" s="77"/>
      <c r="AT83" s="77">
        <v>563</v>
      </c>
      <c r="AU83" s="77"/>
      <c r="AV83" s="77">
        <v>650.29999999999995</v>
      </c>
      <c r="AW83" s="77">
        <v>642.29999999999995</v>
      </c>
      <c r="AX83" s="77"/>
      <c r="AY83" s="77"/>
      <c r="AZ83" s="77">
        <v>36.9</v>
      </c>
      <c r="BA83" s="77"/>
      <c r="BB83" s="77">
        <v>29.1</v>
      </c>
      <c r="BC83" s="77"/>
      <c r="BD83" s="79">
        <v>7</v>
      </c>
      <c r="BE83" s="77">
        <v>3.4</v>
      </c>
    </row>
    <row r="84" spans="1:57" s="31" customFormat="1">
      <c r="A84" s="152"/>
      <c r="B84" s="50"/>
      <c r="C84" s="76"/>
      <c r="D84" s="76"/>
      <c r="E84" s="76"/>
      <c r="F84" s="76"/>
      <c r="G84" s="76"/>
      <c r="H84" s="76"/>
      <c r="I84" s="76"/>
      <c r="J84" s="77"/>
      <c r="K84" s="77"/>
      <c r="L84" s="76"/>
      <c r="M84" s="76"/>
      <c r="N84" s="76"/>
      <c r="O84" s="83"/>
      <c r="P84" s="83"/>
      <c r="Q84" s="88" t="s">
        <v>46</v>
      </c>
      <c r="R84" s="88"/>
      <c r="S84" s="88"/>
      <c r="T84" s="91"/>
      <c r="U84" s="83"/>
      <c r="V84" s="85"/>
      <c r="W84" s="78"/>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9"/>
      <c r="BE84" s="77"/>
    </row>
    <row r="85" spans="1:57" s="31" customFormat="1">
      <c r="A85" s="151"/>
      <c r="B85" s="32" t="s">
        <v>608</v>
      </c>
      <c r="C85" s="109">
        <v>0</v>
      </c>
      <c r="D85" s="109" t="s">
        <v>609</v>
      </c>
      <c r="E85" s="109">
        <v>18</v>
      </c>
      <c r="F85" s="109">
        <v>7</v>
      </c>
      <c r="G85" s="109">
        <v>2</v>
      </c>
      <c r="H85" s="109">
        <v>497</v>
      </c>
      <c r="I85" s="109">
        <v>54</v>
      </c>
      <c r="J85" s="110">
        <v>24</v>
      </c>
      <c r="K85" s="110">
        <v>8</v>
      </c>
      <c r="L85" s="109">
        <v>10.5</v>
      </c>
      <c r="M85" s="109">
        <v>59.6</v>
      </c>
      <c r="N85" s="109"/>
      <c r="O85" s="111">
        <v>33.5</v>
      </c>
      <c r="P85" s="111">
        <f>IF(C85=0,$P$8*O85,$P$9*O85)</f>
        <v>43.550000000000004</v>
      </c>
      <c r="Q85" s="112">
        <f>IF(D85="Max",O85/21000*110*$R$98,O85/19030*71*$R$98)</f>
        <v>0.16248292170257489</v>
      </c>
      <c r="R85" s="113">
        <f>IF(C85=0,$R$8*Q85,$R$9*Q85)</f>
        <v>0.21122779821334736</v>
      </c>
      <c r="S85" s="113">
        <v>0.38</v>
      </c>
      <c r="T85" s="114">
        <f>IF(C85=0,$T$8*S85,$T$9*S85)</f>
        <v>0.49400000000000005</v>
      </c>
      <c r="U85" s="111">
        <v>22.4</v>
      </c>
      <c r="V85" s="111">
        <f>IF(C85=0,$V$8*U85,$V$9*U85)</f>
        <v>29.119999999999997</v>
      </c>
      <c r="W85" s="115"/>
      <c r="X85" s="110">
        <v>45</v>
      </c>
      <c r="Y85" s="110">
        <v>90</v>
      </c>
      <c r="Z85" s="110" t="s">
        <v>607</v>
      </c>
      <c r="AA85" s="110">
        <v>15043</v>
      </c>
      <c r="AB85" s="110">
        <v>15230</v>
      </c>
      <c r="AC85" s="110">
        <v>6873.9</v>
      </c>
      <c r="AD85" s="110"/>
      <c r="AE85" s="110">
        <v>8356.7999999999993</v>
      </c>
      <c r="AF85" s="110"/>
      <c r="AG85" s="110"/>
      <c r="AH85" s="110"/>
      <c r="AI85" s="110"/>
      <c r="AJ85" s="110">
        <v>6666.7</v>
      </c>
      <c r="AK85" s="110"/>
      <c r="AL85" s="110"/>
      <c r="AM85" s="110">
        <v>1875</v>
      </c>
      <c r="AN85" s="110"/>
      <c r="AO85" s="110"/>
      <c r="AP85" s="110"/>
      <c r="AQ85" s="110"/>
      <c r="AR85" s="110"/>
      <c r="AS85" s="110"/>
      <c r="AT85" s="110">
        <v>1687.5</v>
      </c>
      <c r="AU85" s="110"/>
      <c r="AV85" s="110">
        <v>525.6</v>
      </c>
      <c r="AW85" s="110">
        <v>517.6</v>
      </c>
      <c r="AX85" s="110"/>
      <c r="AY85" s="110"/>
      <c r="AZ85" s="110">
        <v>79.2</v>
      </c>
      <c r="BA85" s="110"/>
      <c r="BB85" s="110">
        <v>53.1</v>
      </c>
      <c r="BC85" s="110"/>
      <c r="BD85" s="73">
        <v>7.1</v>
      </c>
      <c r="BE85" s="110">
        <v>10.1</v>
      </c>
    </row>
    <row r="86" spans="1:57" s="106" customFormat="1">
      <c r="A86" s="151"/>
      <c r="B86" s="50" t="s">
        <v>608</v>
      </c>
      <c r="C86" s="76">
        <v>0</v>
      </c>
      <c r="D86" s="76" t="s">
        <v>609</v>
      </c>
      <c r="E86" s="76">
        <v>18</v>
      </c>
      <c r="F86" s="76">
        <v>7</v>
      </c>
      <c r="G86" s="76">
        <v>2</v>
      </c>
      <c r="H86" s="76">
        <v>497</v>
      </c>
      <c r="I86" s="76">
        <v>54</v>
      </c>
      <c r="J86" s="77">
        <v>24</v>
      </c>
      <c r="K86" s="77">
        <v>8</v>
      </c>
      <c r="L86" s="76">
        <v>10.5</v>
      </c>
      <c r="M86" s="76">
        <v>87.4</v>
      </c>
      <c r="N86" s="76"/>
      <c r="O86" s="83">
        <v>49.2</v>
      </c>
      <c r="P86" s="83">
        <f>IF(C86=0,$P$8*O86,$P$9*O86)</f>
        <v>63.960000000000008</v>
      </c>
      <c r="Q86" s="88">
        <f>IF(D86="Max",O86/21000*110*$R$98,O86/19030*71*$R$98)</f>
        <v>0.23863163426169209</v>
      </c>
      <c r="R86" s="88">
        <f>IF(C86=0,$R$8*Q86,$R$9*Q86)</f>
        <v>0.31022112454019973</v>
      </c>
      <c r="S86" s="88">
        <v>0.53</v>
      </c>
      <c r="T86" s="89">
        <f>IF(C86=0,$T$8*S86,$T$9*S86)</f>
        <v>0.68900000000000006</v>
      </c>
      <c r="U86" s="83">
        <v>32.799999999999997</v>
      </c>
      <c r="V86" s="83">
        <f>IF(C86=0,$V$8*U86,$V$9*U86)</f>
        <v>42.64</v>
      </c>
      <c r="W86" s="78"/>
      <c r="X86" s="77">
        <v>45</v>
      </c>
      <c r="Y86" s="77">
        <v>90</v>
      </c>
      <c r="Z86" s="77" t="s">
        <v>607</v>
      </c>
      <c r="AA86" s="77">
        <v>14920</v>
      </c>
      <c r="AB86" s="77">
        <v>15006</v>
      </c>
      <c r="AC86" s="77">
        <v>6772.9</v>
      </c>
      <c r="AD86" s="77"/>
      <c r="AE86" s="77">
        <v>8234</v>
      </c>
      <c r="AF86" s="77"/>
      <c r="AG86" s="77"/>
      <c r="AH86" s="77"/>
      <c r="AI86" s="77"/>
      <c r="AJ86" s="77">
        <v>6666.7</v>
      </c>
      <c r="AK86" s="77"/>
      <c r="AL86" s="77"/>
      <c r="AM86" s="77">
        <v>868.1</v>
      </c>
      <c r="AN86" s="77"/>
      <c r="AO86" s="77"/>
      <c r="AP86" s="77"/>
      <c r="AQ86" s="77"/>
      <c r="AR86" s="77"/>
      <c r="AS86" s="77"/>
      <c r="AT86" s="77">
        <v>781.3</v>
      </c>
      <c r="AU86" s="77"/>
      <c r="AV86" s="77">
        <v>526.29999999999995</v>
      </c>
      <c r="AW86" s="77">
        <v>518.5</v>
      </c>
      <c r="AX86" s="77"/>
      <c r="AY86" s="77"/>
      <c r="AZ86" s="77">
        <v>43.5</v>
      </c>
      <c r="BA86" s="77"/>
      <c r="BB86" s="77">
        <v>34</v>
      </c>
      <c r="BC86" s="77"/>
      <c r="BD86" s="79">
        <v>7</v>
      </c>
      <c r="BE86" s="77">
        <v>4.7</v>
      </c>
    </row>
    <row r="87" spans="1:57" s="31" customFormat="1">
      <c r="A87" s="151"/>
      <c r="B87" s="32" t="s">
        <v>608</v>
      </c>
      <c r="C87" s="109">
        <v>0</v>
      </c>
      <c r="D87" s="109" t="s">
        <v>609</v>
      </c>
      <c r="E87" s="109">
        <v>15</v>
      </c>
      <c r="F87" s="109">
        <v>7</v>
      </c>
      <c r="G87" s="109">
        <v>2</v>
      </c>
      <c r="H87" s="109">
        <v>497</v>
      </c>
      <c r="I87" s="109">
        <v>54</v>
      </c>
      <c r="J87" s="110">
        <v>24</v>
      </c>
      <c r="K87" s="110">
        <v>8</v>
      </c>
      <c r="L87" s="109">
        <v>10.5</v>
      </c>
      <c r="M87" s="109">
        <v>64</v>
      </c>
      <c r="N87" s="109"/>
      <c r="O87" s="111">
        <v>36.1</v>
      </c>
      <c r="P87" s="111">
        <f>IF(C87=0,$P$8*O87,$P$9*O87)</f>
        <v>46.930000000000007</v>
      </c>
      <c r="Q87" s="112">
        <f>IF(D87="Max",O87/21000*110*$R$98,O87/19030*71*$R$98)</f>
        <v>0.17509353652128221</v>
      </c>
      <c r="R87" s="113">
        <f>IF(C87=0,$R$8*Q87,$R$9*Q87)</f>
        <v>0.22762159747766689</v>
      </c>
      <c r="S87" s="113">
        <v>0.38</v>
      </c>
      <c r="T87" s="114">
        <f>IF(C87=0,$T$8*S87,$T$9*S87)</f>
        <v>0.49400000000000005</v>
      </c>
      <c r="U87" s="111">
        <v>24.1</v>
      </c>
      <c r="V87" s="111">
        <f>IF(C87=0,$V$8*U87,$V$9*U87)</f>
        <v>31.330000000000002</v>
      </c>
      <c r="W87" s="115"/>
      <c r="X87" s="110">
        <v>45</v>
      </c>
      <c r="Y87" s="110">
        <v>90</v>
      </c>
      <c r="Z87" s="110" t="s">
        <v>607</v>
      </c>
      <c r="AA87" s="110">
        <v>14983</v>
      </c>
      <c r="AB87" s="110">
        <v>15122</v>
      </c>
      <c r="AC87" s="110">
        <v>6825.2</v>
      </c>
      <c r="AD87" s="110"/>
      <c r="AE87" s="110">
        <v>8298</v>
      </c>
      <c r="AF87" s="110"/>
      <c r="AG87" s="110"/>
      <c r="AH87" s="110"/>
      <c r="AI87" s="110"/>
      <c r="AJ87" s="110">
        <v>6666.7</v>
      </c>
      <c r="AK87" s="110"/>
      <c r="AL87" s="110"/>
      <c r="AM87" s="110">
        <v>1389</v>
      </c>
      <c r="AN87" s="110"/>
      <c r="AO87" s="110"/>
      <c r="AP87" s="110"/>
      <c r="AQ87" s="110"/>
      <c r="AR87" s="110"/>
      <c r="AS87" s="110"/>
      <c r="AT87" s="110">
        <v>1250</v>
      </c>
      <c r="AU87" s="110"/>
      <c r="AV87" s="110">
        <v>537</v>
      </c>
      <c r="AW87" s="110">
        <v>529.29999999999995</v>
      </c>
      <c r="AX87" s="110"/>
      <c r="AY87" s="110"/>
      <c r="AZ87" s="110">
        <v>63.6</v>
      </c>
      <c r="BA87" s="110"/>
      <c r="BB87" s="110">
        <v>45.3</v>
      </c>
      <c r="BC87" s="110"/>
      <c r="BD87" s="73">
        <v>7</v>
      </c>
      <c r="BE87" s="110">
        <v>7.5</v>
      </c>
    </row>
    <row r="88" spans="1:57" s="106" customFormat="1">
      <c r="A88" s="151"/>
      <c r="B88" s="50" t="s">
        <v>608</v>
      </c>
      <c r="C88" s="76">
        <v>0</v>
      </c>
      <c r="D88" s="76" t="s">
        <v>609</v>
      </c>
      <c r="E88" s="76">
        <v>15</v>
      </c>
      <c r="F88" s="76">
        <v>7</v>
      </c>
      <c r="G88" s="76">
        <v>2</v>
      </c>
      <c r="H88" s="76">
        <v>497</v>
      </c>
      <c r="I88" s="76">
        <v>54</v>
      </c>
      <c r="J88" s="77">
        <v>24</v>
      </c>
      <c r="K88" s="77">
        <v>8</v>
      </c>
      <c r="L88" s="76">
        <v>10.5</v>
      </c>
      <c r="M88" s="76">
        <v>94.5</v>
      </c>
      <c r="N88" s="76"/>
      <c r="O88" s="83">
        <v>53.2</v>
      </c>
      <c r="P88" s="83">
        <f>IF(C88=0,$P$8*O88,$P$9*O88)</f>
        <v>69.160000000000011</v>
      </c>
      <c r="Q88" s="88">
        <f>IF(D88="Max",O88/21000*110*$R$98,O88/19030*71*$R$98)</f>
        <v>0.25803258013662639</v>
      </c>
      <c r="R88" s="88">
        <f>IF(C88=0,$R$8*Q88,$R$9*Q88)</f>
        <v>0.33544235417761431</v>
      </c>
      <c r="S88" s="88">
        <v>0.53</v>
      </c>
      <c r="T88" s="89">
        <f>IF(C88=0,$T$8*S88,$T$9*S88)</f>
        <v>0.68900000000000006</v>
      </c>
      <c r="U88" s="83">
        <v>35.450000000000003</v>
      </c>
      <c r="V88" s="83">
        <f>IF(C88=0,$V$8*U88,$V$9*U88)</f>
        <v>46.085000000000008</v>
      </c>
      <c r="W88" s="78"/>
      <c r="X88" s="77">
        <v>46</v>
      </c>
      <c r="Y88" s="77">
        <v>90</v>
      </c>
      <c r="Z88" s="77" t="s">
        <v>607</v>
      </c>
      <c r="AA88" s="77">
        <v>14865</v>
      </c>
      <c r="AB88" s="77">
        <v>14906</v>
      </c>
      <c r="AC88" s="77">
        <v>6727.7</v>
      </c>
      <c r="AD88" s="77"/>
      <c r="AE88" s="77">
        <v>8179</v>
      </c>
      <c r="AF88" s="77"/>
      <c r="AG88" s="77"/>
      <c r="AH88" s="77"/>
      <c r="AI88" s="77"/>
      <c r="AJ88" s="77">
        <v>6666.7</v>
      </c>
      <c r="AK88" s="77"/>
      <c r="AL88" s="77"/>
      <c r="AM88" s="77">
        <v>416.7</v>
      </c>
      <c r="AN88" s="77"/>
      <c r="AO88" s="77"/>
      <c r="AP88" s="77"/>
      <c r="AQ88" s="77"/>
      <c r="AR88" s="77"/>
      <c r="AS88" s="77"/>
      <c r="AT88" s="77">
        <v>375</v>
      </c>
      <c r="AU88" s="77"/>
      <c r="AV88" s="77">
        <v>537.6</v>
      </c>
      <c r="AW88" s="77">
        <v>529.79999999999995</v>
      </c>
      <c r="AX88" s="77"/>
      <c r="AY88" s="77"/>
      <c r="AZ88" s="77">
        <v>29.4</v>
      </c>
      <c r="BA88" s="77"/>
      <c r="BB88" s="77">
        <v>24.6</v>
      </c>
      <c r="BC88" s="77"/>
      <c r="BD88" s="79">
        <v>6.9</v>
      </c>
      <c r="BE88" s="77">
        <v>2.2000000000000002</v>
      </c>
    </row>
    <row r="89" spans="1:57" s="106" customFormat="1">
      <c r="A89" s="151"/>
      <c r="B89" s="50" t="s">
        <v>608</v>
      </c>
      <c r="C89" s="76">
        <v>0</v>
      </c>
      <c r="D89" s="76" t="s">
        <v>609</v>
      </c>
      <c r="E89" s="76">
        <v>15</v>
      </c>
      <c r="F89" s="76">
        <v>7</v>
      </c>
      <c r="G89" s="76">
        <v>1</v>
      </c>
      <c r="H89" s="76">
        <v>497</v>
      </c>
      <c r="I89" s="76">
        <v>27</v>
      </c>
      <c r="J89" s="77">
        <v>12</v>
      </c>
      <c r="K89" s="77">
        <v>8</v>
      </c>
      <c r="L89" s="76">
        <v>10.5</v>
      </c>
      <c r="M89" s="76">
        <v>98.3</v>
      </c>
      <c r="N89" s="76"/>
      <c r="O89" s="83">
        <v>55.3</v>
      </c>
      <c r="P89" s="83">
        <f>IF(C89=0,$P$8*O89,$P$9*O89)</f>
        <v>71.89</v>
      </c>
      <c r="Q89" s="88">
        <f>IF(D89="Max",O89/21000*110*$R$98,O89/19030*71*$R$98)</f>
        <v>0.26821807672096692</v>
      </c>
      <c r="R89" s="88">
        <f>IF(C89=0,$R$8*Q89,$R$9*Q89)</f>
        <v>0.34868349973725704</v>
      </c>
      <c r="S89" s="88">
        <v>0.52</v>
      </c>
      <c r="T89" s="89">
        <f>IF(C89=0,$T$8*S89,$T$9*S89)</f>
        <v>0.67600000000000005</v>
      </c>
      <c r="U89" s="83">
        <v>35.6</v>
      </c>
      <c r="V89" s="83">
        <f>IF(C89=0,$V$8*U89,$V$9*U89)</f>
        <v>46.28</v>
      </c>
      <c r="W89" s="78"/>
      <c r="X89" s="77">
        <v>45</v>
      </c>
      <c r="Y89" s="77">
        <v>90</v>
      </c>
      <c r="Z89" s="77" t="s">
        <v>607</v>
      </c>
      <c r="AA89" s="77">
        <v>14856</v>
      </c>
      <c r="AB89" s="77">
        <v>14891</v>
      </c>
      <c r="AC89" s="77">
        <v>6720.7</v>
      </c>
      <c r="AD89" s="77"/>
      <c r="AE89" s="77">
        <v>8170.5</v>
      </c>
      <c r="AF89" s="77"/>
      <c r="AG89" s="77"/>
      <c r="AH89" s="77"/>
      <c r="AI89" s="77"/>
      <c r="AJ89" s="77">
        <v>6666.7</v>
      </c>
      <c r="AK89" s="77"/>
      <c r="AL89" s="77"/>
      <c r="AM89" s="77">
        <v>347.2</v>
      </c>
      <c r="AN89" s="77"/>
      <c r="AO89" s="77"/>
      <c r="AP89" s="77"/>
      <c r="AQ89" s="77"/>
      <c r="AR89" s="77"/>
      <c r="AS89" s="77"/>
      <c r="AT89" s="77">
        <v>312.5</v>
      </c>
      <c r="AU89" s="77"/>
      <c r="AV89" s="77">
        <v>537.6</v>
      </c>
      <c r="AW89" s="77">
        <v>529.79999999999995</v>
      </c>
      <c r="AX89" s="77"/>
      <c r="AY89" s="77"/>
      <c r="AZ89" s="77">
        <v>38.700000000000003</v>
      </c>
      <c r="BA89" s="77"/>
      <c r="BB89" s="77">
        <v>31</v>
      </c>
      <c r="BC89" s="77"/>
      <c r="BD89" s="79">
        <v>6.9</v>
      </c>
      <c r="BE89" s="77">
        <v>3.7</v>
      </c>
    </row>
    <row r="90" spans="1:57" s="106" customFormat="1">
      <c r="A90" s="151"/>
      <c r="B90" s="50" t="s">
        <v>608</v>
      </c>
      <c r="C90" s="76">
        <v>0</v>
      </c>
      <c r="D90" s="76" t="s">
        <v>609</v>
      </c>
      <c r="E90" s="76">
        <v>13</v>
      </c>
      <c r="F90" s="76">
        <v>7</v>
      </c>
      <c r="G90" s="153" t="s">
        <v>631</v>
      </c>
      <c r="H90" s="76" t="s">
        <v>67</v>
      </c>
      <c r="I90" s="76"/>
      <c r="J90" s="77"/>
      <c r="K90" s="77"/>
      <c r="L90" s="76"/>
      <c r="M90" s="76"/>
      <c r="N90" s="76"/>
      <c r="O90" s="83"/>
      <c r="P90" s="83"/>
      <c r="Q90" s="88"/>
      <c r="R90" s="88"/>
      <c r="S90" s="88"/>
      <c r="T90" s="89"/>
      <c r="U90" s="83"/>
      <c r="V90" s="83"/>
      <c r="W90" s="78"/>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9"/>
      <c r="BE90" s="77"/>
    </row>
    <row r="91" spans="1:57" s="31" customFormat="1">
      <c r="A91" s="152"/>
      <c r="B91" s="50" t="s">
        <v>608</v>
      </c>
      <c r="C91" s="76">
        <v>0</v>
      </c>
      <c r="D91" s="76" t="s">
        <v>609</v>
      </c>
      <c r="E91" s="76">
        <v>12</v>
      </c>
      <c r="F91" s="76">
        <v>7</v>
      </c>
      <c r="G91" s="76">
        <v>2</v>
      </c>
      <c r="H91" s="76">
        <v>497</v>
      </c>
      <c r="I91" s="76">
        <v>54</v>
      </c>
      <c r="J91" s="77">
        <v>24</v>
      </c>
      <c r="K91" s="77">
        <v>8</v>
      </c>
      <c r="L91" s="76">
        <v>10.5</v>
      </c>
      <c r="M91" s="76">
        <v>68</v>
      </c>
      <c r="N91" s="76"/>
      <c r="O91" s="83">
        <v>38.4</v>
      </c>
      <c r="P91" s="83">
        <f>IF(C91=0,$P$8*O91,$P$9*O91)</f>
        <v>49.92</v>
      </c>
      <c r="Q91" s="88">
        <f>IF(D91="Max",O91/21000*110*$R$98,O91/19030*71*$R$98)</f>
        <v>0.18624908039936941</v>
      </c>
      <c r="R91" s="88">
        <f>IF(C91=0,$R$8*Q91,$R$9*Q91)</f>
        <v>0.24212380451918025</v>
      </c>
      <c r="S91" s="88">
        <v>0.38</v>
      </c>
      <c r="T91" s="89">
        <f>IF(C91=0,$T$8*S91,$T$9*S91)</f>
        <v>0.49400000000000005</v>
      </c>
      <c r="U91" s="83">
        <v>25.6</v>
      </c>
      <c r="V91" s="83">
        <f>IF(C91=0,$V$8*U91,$V$9*U91)</f>
        <v>33.28</v>
      </c>
      <c r="W91" s="78"/>
      <c r="X91" s="77">
        <v>45</v>
      </c>
      <c r="Y91" s="77">
        <v>90</v>
      </c>
      <c r="Z91" s="77" t="s">
        <v>607</v>
      </c>
      <c r="AA91" s="77">
        <v>14924</v>
      </c>
      <c r="AB91" s="77">
        <v>15014</v>
      </c>
      <c r="AC91" s="77">
        <v>6776</v>
      </c>
      <c r="AD91" s="77"/>
      <c r="AE91" s="77">
        <v>8238</v>
      </c>
      <c r="AF91" s="77"/>
      <c r="AG91" s="77"/>
      <c r="AH91" s="77"/>
      <c r="AI91" s="77"/>
      <c r="AJ91" s="77">
        <v>6666.7</v>
      </c>
      <c r="AK91" s="77"/>
      <c r="AL91" s="77"/>
      <c r="AM91" s="77">
        <v>903</v>
      </c>
      <c r="AN91" s="77"/>
      <c r="AO91" s="77"/>
      <c r="AP91" s="77"/>
      <c r="AQ91" s="77"/>
      <c r="AR91" s="77"/>
      <c r="AS91" s="77"/>
      <c r="AT91" s="77">
        <v>813</v>
      </c>
      <c r="AU91" s="77"/>
      <c r="AV91" s="77">
        <v>553.5</v>
      </c>
      <c r="AW91" s="77">
        <v>545.5</v>
      </c>
      <c r="AX91" s="77"/>
      <c r="AY91" s="77"/>
      <c r="AZ91" s="77">
        <v>45.9</v>
      </c>
      <c r="BA91" s="77"/>
      <c r="BB91" s="77">
        <v>34.700000000000003</v>
      </c>
      <c r="BC91" s="77"/>
      <c r="BD91" s="79">
        <v>7</v>
      </c>
      <c r="BE91" s="77">
        <v>4.9000000000000004</v>
      </c>
    </row>
    <row r="92" spans="1:57" s="31" customFormat="1">
      <c r="A92" s="152"/>
      <c r="B92" s="50" t="s">
        <v>608</v>
      </c>
      <c r="C92" s="76">
        <v>0</v>
      </c>
      <c r="D92" s="76" t="s">
        <v>609</v>
      </c>
      <c r="E92" s="76">
        <v>10</v>
      </c>
      <c r="F92" s="76">
        <v>7</v>
      </c>
      <c r="G92" s="76">
        <v>2</v>
      </c>
      <c r="H92" s="76">
        <v>497</v>
      </c>
      <c r="I92" s="76">
        <v>54</v>
      </c>
      <c r="J92" s="77">
        <v>24</v>
      </c>
      <c r="K92" s="77">
        <v>8</v>
      </c>
      <c r="L92" s="76">
        <v>10.5</v>
      </c>
      <c r="M92" s="76">
        <v>70</v>
      </c>
      <c r="N92" s="76"/>
      <c r="O92" s="83">
        <v>39.1</v>
      </c>
      <c r="P92" s="83">
        <f>IF(C92=0,$P$8*O92,$P$9*O92)</f>
        <v>50.830000000000005</v>
      </c>
      <c r="Q92" s="88">
        <f>IF(D92="Max",O92/21000*110*$R$98,O92/19030*71*$R$98)</f>
        <v>0.18964424592748294</v>
      </c>
      <c r="R92" s="88">
        <f>IF(C92=0,$R$8*Q92,$R$9*Q92)</f>
        <v>0.24653751970572782</v>
      </c>
      <c r="S92" s="88">
        <v>0.38</v>
      </c>
      <c r="T92" s="89">
        <f>IF(C92=0,$T$8*S92,$T$9*S92)</f>
        <v>0.49400000000000005</v>
      </c>
      <c r="U92" s="83">
        <v>26.1</v>
      </c>
      <c r="V92" s="83">
        <f>IF(C92=0,$V$8*U92,$V$9*U92)</f>
        <v>33.93</v>
      </c>
      <c r="W92" s="78"/>
      <c r="X92" s="77">
        <v>45</v>
      </c>
      <c r="Y92" s="77">
        <v>90</v>
      </c>
      <c r="Z92" s="77" t="s">
        <v>607</v>
      </c>
      <c r="AA92" s="77">
        <v>14890</v>
      </c>
      <c r="AB92" s="77">
        <v>14952</v>
      </c>
      <c r="AC92" s="77">
        <v>6749</v>
      </c>
      <c r="AD92" s="77"/>
      <c r="AE92" s="77">
        <v>8204</v>
      </c>
      <c r="AF92" s="77"/>
      <c r="AG92" s="77"/>
      <c r="AH92" s="77"/>
      <c r="AI92" s="77"/>
      <c r="AJ92" s="77">
        <v>6666.7</v>
      </c>
      <c r="AK92" s="77"/>
      <c r="AL92" s="77"/>
      <c r="AM92" s="77">
        <v>625</v>
      </c>
      <c r="AN92" s="77"/>
      <c r="AO92" s="77"/>
      <c r="AP92" s="77"/>
      <c r="AQ92" s="77"/>
      <c r="AR92" s="77"/>
      <c r="AS92" s="77"/>
      <c r="AT92" s="77">
        <v>562</v>
      </c>
      <c r="AU92" s="77"/>
      <c r="AV92" s="77">
        <v>567.4</v>
      </c>
      <c r="AW92" s="77">
        <v>559.4</v>
      </c>
      <c r="AX92" s="77"/>
      <c r="AY92" s="77"/>
      <c r="AZ92" s="77">
        <v>34.799999999999997</v>
      </c>
      <c r="BA92" s="77"/>
      <c r="BB92" s="77">
        <v>27.1</v>
      </c>
      <c r="BC92" s="77"/>
      <c r="BD92" s="79">
        <v>7</v>
      </c>
      <c r="BE92" s="77">
        <v>3.4</v>
      </c>
    </row>
    <row r="93" spans="1:57" s="31" customFormat="1">
      <c r="A93" s="152"/>
      <c r="B93" s="50" t="s">
        <v>608</v>
      </c>
      <c r="C93" s="76">
        <v>0</v>
      </c>
      <c r="D93" s="76" t="s">
        <v>609</v>
      </c>
      <c r="E93" s="76">
        <v>8</v>
      </c>
      <c r="F93" s="76">
        <v>7</v>
      </c>
      <c r="G93" s="76">
        <v>2</v>
      </c>
      <c r="H93" s="76">
        <v>497</v>
      </c>
      <c r="I93" s="76">
        <v>54</v>
      </c>
      <c r="J93" s="77">
        <v>24</v>
      </c>
      <c r="K93" s="77">
        <v>8</v>
      </c>
      <c r="L93" s="76">
        <v>10.5</v>
      </c>
      <c r="M93" s="76">
        <v>71</v>
      </c>
      <c r="N93" s="76"/>
      <c r="O93" s="83">
        <v>40</v>
      </c>
      <c r="P93" s="83">
        <f>IF(C93=0,$P$8*O93,$P$9*O93)</f>
        <v>52</v>
      </c>
      <c r="Q93" s="88">
        <f>IF(D93="Max",O93/21000*110*$R$98,O93/19030*71*$R$98)</f>
        <v>0.19400945874934317</v>
      </c>
      <c r="R93" s="88">
        <f>IF(C93=0,$R$8*Q93,$R$9*Q93)</f>
        <v>0.25221229637414611</v>
      </c>
      <c r="S93" s="88">
        <v>0.37</v>
      </c>
      <c r="T93" s="88">
        <f>IF(C93=0,$T$8*S93,$T$9*S93)</f>
        <v>0.48099999999999998</v>
      </c>
      <c r="U93" s="83">
        <v>26.6</v>
      </c>
      <c r="V93" s="85">
        <f>IF(C93=0,$V$8*U93,$V$9*U93)</f>
        <v>34.580000000000005</v>
      </c>
      <c r="W93" s="78"/>
      <c r="X93" s="77">
        <v>45</v>
      </c>
      <c r="Y93" s="77">
        <v>90</v>
      </c>
      <c r="Z93" s="77" t="s">
        <v>607</v>
      </c>
      <c r="AA93" s="77">
        <v>14856</v>
      </c>
      <c r="AB93" s="77">
        <v>14891</v>
      </c>
      <c r="AC93" s="77">
        <v>6721</v>
      </c>
      <c r="AD93" s="77"/>
      <c r="AE93" s="77">
        <v>8171</v>
      </c>
      <c r="AF93" s="77"/>
      <c r="AG93" s="77"/>
      <c r="AH93" s="77"/>
      <c r="AI93" s="77"/>
      <c r="AJ93" s="77">
        <v>6666.7</v>
      </c>
      <c r="AK93" s="77"/>
      <c r="AL93" s="77"/>
      <c r="AM93" s="77">
        <v>347</v>
      </c>
      <c r="AN93" s="77"/>
      <c r="AO93" s="77"/>
      <c r="AP93" s="77"/>
      <c r="AQ93" s="77"/>
      <c r="AR93" s="77"/>
      <c r="AS93" s="77"/>
      <c r="AT93" s="77">
        <v>313</v>
      </c>
      <c r="AU93" s="77"/>
      <c r="AV93" s="77">
        <v>584.6</v>
      </c>
      <c r="AW93" s="77">
        <v>576.5</v>
      </c>
      <c r="AX93" s="77"/>
      <c r="AY93" s="77"/>
      <c r="AZ93" s="77">
        <v>22.8</v>
      </c>
      <c r="BA93" s="77"/>
      <c r="BB93" s="77">
        <v>18</v>
      </c>
      <c r="BC93" s="77"/>
      <c r="BD93" s="79">
        <v>6.9</v>
      </c>
      <c r="BE93" s="77">
        <v>1.9</v>
      </c>
    </row>
    <row r="94" spans="1:57" s="106" customFormat="1">
      <c r="A94" s="152"/>
      <c r="B94" s="50" t="s">
        <v>608</v>
      </c>
      <c r="C94" s="76">
        <v>0</v>
      </c>
      <c r="D94" s="76" t="s">
        <v>609</v>
      </c>
      <c r="E94" s="76">
        <v>8</v>
      </c>
      <c r="F94" s="76">
        <v>7</v>
      </c>
      <c r="G94" s="76">
        <v>1</v>
      </c>
      <c r="H94" s="76">
        <v>497</v>
      </c>
      <c r="I94" s="76">
        <v>27</v>
      </c>
      <c r="J94" s="77">
        <v>12</v>
      </c>
      <c r="K94" s="77">
        <v>8</v>
      </c>
      <c r="L94" s="76">
        <v>10.5</v>
      </c>
      <c r="M94" s="76">
        <v>72</v>
      </c>
      <c r="N94" s="76"/>
      <c r="O94" s="83">
        <v>40.4</v>
      </c>
      <c r="P94" s="83">
        <f>IF(C94=0,$P$8*O94,$P$9*O94)</f>
        <v>52.52</v>
      </c>
      <c r="Q94" s="88">
        <f>IF(D94="Max",O94/21000*110*$R$98,O94/19030*71*$R$98)</f>
        <v>0.19594955333683658</v>
      </c>
      <c r="R94" s="88">
        <f>IF(C94=0,$R$8*Q94,$R$9*Q94)</f>
        <v>0.2547344193378876</v>
      </c>
      <c r="S94" s="88">
        <v>0.37</v>
      </c>
      <c r="T94" s="88">
        <f>IF(C94=0,$T$8*S94,$T$9*S94)</f>
        <v>0.48099999999999998</v>
      </c>
      <c r="U94" s="83">
        <v>27</v>
      </c>
      <c r="V94" s="85">
        <f>IF(C94=0,$V$8*U94,$V$9*U94)</f>
        <v>35.1</v>
      </c>
      <c r="W94" s="78"/>
      <c r="X94" s="77">
        <v>45</v>
      </c>
      <c r="Y94" s="77">
        <v>90</v>
      </c>
      <c r="Z94" s="84" t="s">
        <v>630</v>
      </c>
      <c r="AA94" s="77">
        <v>14848</v>
      </c>
      <c r="AB94" s="77">
        <v>14875</v>
      </c>
      <c r="AC94" s="77">
        <v>6713.7</v>
      </c>
      <c r="AD94" s="77"/>
      <c r="AE94" s="77">
        <v>8162</v>
      </c>
      <c r="AF94" s="77"/>
      <c r="AG94" s="77"/>
      <c r="AH94" s="77"/>
      <c r="AI94" s="77"/>
      <c r="AJ94" s="77">
        <v>6666.7</v>
      </c>
      <c r="AK94" s="77"/>
      <c r="AL94" s="77"/>
      <c r="AM94" s="77">
        <v>277.8</v>
      </c>
      <c r="AN94" s="77"/>
      <c r="AO94" s="77"/>
      <c r="AP94" s="77"/>
      <c r="AQ94" s="77"/>
      <c r="AR94" s="77"/>
      <c r="AS94" s="77"/>
      <c r="AT94" s="77">
        <v>250</v>
      </c>
      <c r="AU94" s="77"/>
      <c r="AV94" s="77">
        <v>584.5</v>
      </c>
      <c r="AW94" s="77">
        <v>576.5</v>
      </c>
      <c r="AX94" s="77"/>
      <c r="AY94" s="77"/>
      <c r="AZ94" s="77">
        <v>32.5</v>
      </c>
      <c r="BA94" s="77"/>
      <c r="BB94" s="77">
        <v>25.4</v>
      </c>
      <c r="BC94" s="77"/>
      <c r="BD94" s="79">
        <v>6.9</v>
      </c>
      <c r="BE94" s="77">
        <v>3</v>
      </c>
    </row>
    <row r="95" spans="1:57" s="31" customFormat="1">
      <c r="A95" s="22"/>
      <c r="B95" s="47"/>
      <c r="C95" s="3"/>
      <c r="D95" s="3"/>
      <c r="E95" s="3"/>
      <c r="F95" s="3"/>
      <c r="G95" s="3"/>
      <c r="H95" s="3"/>
      <c r="I95" s="3"/>
      <c r="J95" s="24"/>
      <c r="K95" s="24"/>
      <c r="L95" s="3"/>
      <c r="M95" s="3"/>
      <c r="N95" s="3"/>
      <c r="O95" s="3"/>
      <c r="P95" s="3"/>
      <c r="Q95" s="3"/>
      <c r="R95" s="3"/>
      <c r="S95" s="3"/>
      <c r="T95" s="3"/>
      <c r="U95" s="3"/>
      <c r="V95" s="3"/>
      <c r="W95" s="23"/>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75"/>
      <c r="BE95" s="75"/>
    </row>
    <row r="96" spans="1:57" s="31" customFormat="1">
      <c r="A96" s="22"/>
      <c r="B96" s="47"/>
      <c r="C96" s="3"/>
      <c r="D96" s="3"/>
      <c r="E96" s="3"/>
      <c r="F96" s="3"/>
      <c r="G96" s="3"/>
      <c r="H96" s="3"/>
      <c r="I96" s="3"/>
      <c r="J96" s="24"/>
      <c r="K96" s="24"/>
      <c r="L96" s="3"/>
      <c r="M96" s="3"/>
      <c r="N96" s="3"/>
      <c r="O96" s="3"/>
      <c r="P96" s="3"/>
      <c r="Q96" s="3"/>
      <c r="R96" s="3"/>
      <c r="S96" s="3"/>
      <c r="T96" s="3"/>
      <c r="U96" s="3"/>
      <c r="V96" s="3"/>
      <c r="W96" s="23"/>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75"/>
      <c r="BE96" s="75"/>
    </row>
    <row r="97" spans="1:57" s="17" customFormat="1">
      <c r="A97"/>
      <c r="C97"/>
      <c r="D97"/>
      <c r="N97" s="2"/>
      <c r="O97" s="2"/>
      <c r="P97" s="15"/>
      <c r="Q97"/>
      <c r="R97" s="15"/>
      <c r="S97" s="15"/>
      <c r="T97" s="15"/>
      <c r="U97" s="15"/>
      <c r="V97" s="15"/>
      <c r="W97" s="2"/>
      <c r="X97" s="2"/>
      <c r="Y97" s="15"/>
      <c r="Z97" s="1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row>
    <row r="98" spans="1:57" s="17" customFormat="1">
      <c r="A98"/>
      <c r="B98" s="3"/>
      <c r="C98"/>
      <c r="D98"/>
      <c r="E98" s="4"/>
      <c r="F98" s="4"/>
      <c r="G98" s="4"/>
      <c r="H98" s="4"/>
      <c r="I98" s="4"/>
      <c r="J98" s="3"/>
      <c r="K98" s="3"/>
      <c r="L98" s="3"/>
      <c r="M98" s="3"/>
      <c r="N98" s="3"/>
      <c r="O98" s="3"/>
      <c r="P98" s="3"/>
      <c r="Q98" s="3" t="s">
        <v>50</v>
      </c>
      <c r="R98" s="3">
        <v>1.3</v>
      </c>
      <c r="S98" s="3"/>
      <c r="T98" s="3"/>
      <c r="U98" s="3"/>
      <c r="V98" s="3"/>
      <c r="W98" s="3"/>
      <c r="X98" s="3"/>
      <c r="Y98" s="3"/>
      <c r="Z98" s="3"/>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row>
  </sheetData>
  <mergeCells count="18">
    <mergeCell ref="BD4:BE4"/>
    <mergeCell ref="S6:T6"/>
    <mergeCell ref="U6:V6"/>
    <mergeCell ref="AU4:BC4"/>
    <mergeCell ref="O5:V5"/>
    <mergeCell ref="AU5:AX5"/>
    <mergeCell ref="AY5:BC5"/>
    <mergeCell ref="W6:Y6"/>
    <mergeCell ref="O2:V2"/>
    <mergeCell ref="AA5:AE5"/>
    <mergeCell ref="AM5:AT5"/>
    <mergeCell ref="AA4:AT4"/>
    <mergeCell ref="F6:G6"/>
    <mergeCell ref="H6:J6"/>
    <mergeCell ref="K6:L6"/>
    <mergeCell ref="M6:N6"/>
    <mergeCell ref="Q6:R6"/>
    <mergeCell ref="O6:P6"/>
  </mergeCells>
  <pageMargins left="0.7" right="0.7" top="0.75" bottom="0.75" header="0.3" footer="0.3"/>
  <pageSetup paperSize="17" scale="49" orientation="landscape" verticalDpi="0"/>
  <legacyDrawing r:id="rId1"/>
</worksheet>
</file>

<file path=xl/worksheets/sheet3.xml><?xml version="1.0" encoding="utf-8"?>
<worksheet xmlns="http://schemas.openxmlformats.org/spreadsheetml/2006/main" xmlns:r="http://schemas.openxmlformats.org/officeDocument/2006/relationships">
  <dimension ref="A1:AM298"/>
  <sheetViews>
    <sheetView topLeftCell="A47" zoomScaleNormal="100" workbookViewId="0">
      <pane xSplit="20085" ySplit="1500" topLeftCell="M1"/>
      <selection activeCell="A50" sqref="A50:XFD50"/>
      <selection pane="topRight" activeCell="G2" sqref="G2"/>
      <selection pane="bottomLeft" activeCell="A254" sqref="A254"/>
      <selection pane="bottomRight" activeCell="A51" sqref="A51"/>
    </sheetView>
  </sheetViews>
  <sheetFormatPr defaultRowHeight="15"/>
  <cols>
    <col min="1" max="1" width="11" style="34" bestFit="1" customWidth="1"/>
    <col min="2" max="2" width="41.85546875" style="34" bestFit="1" customWidth="1"/>
    <col min="3" max="3" width="30.7109375" style="34" hidden="1" customWidth="1"/>
    <col min="4" max="4" width="48.140625" style="34" hidden="1" customWidth="1"/>
    <col min="5" max="5" width="9.85546875" style="34" bestFit="1" customWidth="1"/>
    <col min="6" max="6" width="10.5703125" style="34" bestFit="1" customWidth="1"/>
    <col min="7" max="7" width="9.85546875" style="34" bestFit="1" customWidth="1"/>
    <col min="8" max="8" width="20.42578125" style="34" bestFit="1" customWidth="1"/>
    <col min="9" max="9" width="21" style="34" customWidth="1"/>
    <col min="10" max="10" width="10.28515625" style="34" bestFit="1" customWidth="1"/>
    <col min="11" max="11" width="16" style="34" bestFit="1" customWidth="1"/>
    <col min="12" max="12" width="20" style="34" bestFit="1" customWidth="1"/>
    <col min="13" max="13" width="20.140625" style="34" bestFit="1" customWidth="1"/>
    <col min="14" max="14" width="20.42578125" style="34" hidden="1" customWidth="1"/>
    <col min="15" max="15" width="19.5703125" style="34" bestFit="1" customWidth="1"/>
    <col min="16" max="16" width="22.140625" style="34" bestFit="1" customWidth="1"/>
    <col min="17" max="17" width="27.7109375" style="34" bestFit="1" customWidth="1"/>
    <col min="18" max="18" width="26.28515625" style="34" bestFit="1" customWidth="1"/>
    <col min="19" max="19" width="25.5703125" style="34" hidden="1" customWidth="1"/>
    <col min="20" max="20" width="16.85546875" style="34" hidden="1" customWidth="1"/>
    <col min="21" max="21" width="31" style="34" hidden="1" customWidth="1"/>
    <col min="22" max="22" width="26.140625" style="34" hidden="1" customWidth="1"/>
    <col min="23" max="23" width="16.7109375" style="34" hidden="1" customWidth="1"/>
    <col min="24" max="24" width="23" style="34" hidden="1" customWidth="1"/>
    <col min="25" max="25" width="19.140625" style="34" hidden="1" customWidth="1"/>
    <col min="26" max="26" width="28.85546875" style="34" hidden="1" customWidth="1"/>
    <col min="27" max="27" width="16.7109375" style="34" hidden="1" customWidth="1"/>
    <col min="28" max="28" width="14.85546875" style="34" hidden="1" customWidth="1"/>
    <col min="29" max="29" width="5.140625" style="34" hidden="1" customWidth="1"/>
    <col min="30" max="30" width="19" style="34" hidden="1" customWidth="1"/>
    <col min="31" max="31" width="12.140625" style="34" hidden="1" customWidth="1"/>
    <col min="32" max="32" width="54.5703125" style="34" hidden="1" customWidth="1"/>
    <col min="33" max="33" width="3.42578125" style="34" customWidth="1"/>
    <col min="34" max="34" width="14.5703125" style="34" customWidth="1"/>
    <col min="35" max="35" width="9.140625" style="34"/>
    <col min="36" max="36" width="11.140625" style="34" customWidth="1"/>
    <col min="37" max="37" width="9.28515625" style="34" bestFit="1" customWidth="1"/>
    <col min="38" max="16384" width="9.140625" style="34"/>
  </cols>
  <sheetData>
    <row r="1" spans="1:38">
      <c r="AJ1" s="169" t="s">
        <v>544</v>
      </c>
      <c r="AK1" s="169"/>
    </row>
    <row r="2" spans="1:38">
      <c r="AH2" s="41" t="s">
        <v>533</v>
      </c>
      <c r="AJ2" s="18" t="s">
        <v>538</v>
      </c>
      <c r="AK2" s="18" t="s">
        <v>542</v>
      </c>
    </row>
    <row r="3" spans="1:38">
      <c r="AH3" s="34" t="s">
        <v>534</v>
      </c>
      <c r="AI3" s="34" t="s">
        <v>536</v>
      </c>
      <c r="AJ3" s="18" t="s">
        <v>539</v>
      </c>
      <c r="AK3" s="18" t="s">
        <v>543</v>
      </c>
    </row>
    <row r="4" spans="1:38">
      <c r="A4" s="34" t="s">
        <v>68</v>
      </c>
      <c r="B4" s="34" t="s">
        <v>69</v>
      </c>
      <c r="C4" s="34" t="s">
        <v>70</v>
      </c>
      <c r="D4" s="34" t="s">
        <v>71</v>
      </c>
      <c r="E4" s="34" t="s">
        <v>72</v>
      </c>
      <c r="F4" s="34" t="s">
        <v>73</v>
      </c>
      <c r="G4" s="34" t="s">
        <v>74</v>
      </c>
      <c r="H4" s="34" t="s">
        <v>75</v>
      </c>
      <c r="I4" s="34" t="s">
        <v>76</v>
      </c>
      <c r="J4" s="34" t="s">
        <v>77</v>
      </c>
      <c r="K4" s="34" t="s">
        <v>78</v>
      </c>
      <c r="L4" s="34" t="s">
        <v>79</v>
      </c>
      <c r="M4" s="34" t="s">
        <v>80</v>
      </c>
      <c r="N4" s="34" t="s">
        <v>81</v>
      </c>
      <c r="O4" s="34" t="s">
        <v>82</v>
      </c>
      <c r="P4" s="34" t="s">
        <v>83</v>
      </c>
      <c r="Q4" s="34" t="s">
        <v>84</v>
      </c>
      <c r="R4" s="34" t="s">
        <v>85</v>
      </c>
      <c r="S4" s="34" t="s">
        <v>86</v>
      </c>
      <c r="T4" s="34" t="s">
        <v>87</v>
      </c>
      <c r="U4" s="34" t="s">
        <v>88</v>
      </c>
      <c r="V4" s="34" t="s">
        <v>89</v>
      </c>
      <c r="W4" s="34" t="s">
        <v>90</v>
      </c>
      <c r="X4" s="34" t="s">
        <v>91</v>
      </c>
      <c r="Y4" s="34" t="s">
        <v>92</v>
      </c>
      <c r="Z4" s="34" t="s">
        <v>93</v>
      </c>
      <c r="AA4" s="34" t="s">
        <v>94</v>
      </c>
      <c r="AB4" s="34" t="s">
        <v>95</v>
      </c>
      <c r="AC4" s="34" t="s">
        <v>96</v>
      </c>
      <c r="AD4" s="34" t="s">
        <v>97</v>
      </c>
      <c r="AE4" s="34" t="s">
        <v>98</v>
      </c>
      <c r="AF4" s="34" t="s">
        <v>99</v>
      </c>
      <c r="AH4" s="34" t="s">
        <v>535</v>
      </c>
      <c r="AI4" s="34" t="s">
        <v>537</v>
      </c>
      <c r="AJ4" s="18" t="s">
        <v>540</v>
      </c>
      <c r="AK4" s="18" t="s">
        <v>541</v>
      </c>
    </row>
    <row r="5" spans="1:38">
      <c r="A5" s="35"/>
      <c r="B5" s="35" t="s">
        <v>100</v>
      </c>
      <c r="C5" s="36"/>
      <c r="D5" s="35"/>
      <c r="E5" s="37" t="b">
        <v>1</v>
      </c>
      <c r="F5" s="37" t="b">
        <v>0</v>
      </c>
      <c r="G5" s="37"/>
      <c r="H5" s="35"/>
      <c r="I5" s="37">
        <v>20</v>
      </c>
      <c r="J5" s="37">
        <v>480</v>
      </c>
      <c r="K5" s="36" t="s">
        <v>101</v>
      </c>
      <c r="L5" s="37">
        <v>0</v>
      </c>
      <c r="M5" s="35"/>
      <c r="N5" s="35"/>
      <c r="O5" s="36" t="s">
        <v>102</v>
      </c>
      <c r="P5" s="37" t="b">
        <v>0</v>
      </c>
      <c r="Q5" s="37">
        <v>14.91398</v>
      </c>
      <c r="R5" s="37">
        <v>0</v>
      </c>
      <c r="S5" s="37" t="b">
        <v>0</v>
      </c>
      <c r="T5" s="35"/>
      <c r="U5" s="37">
        <v>0</v>
      </c>
      <c r="V5" s="35"/>
      <c r="W5" s="35"/>
      <c r="X5" s="35"/>
      <c r="Y5" s="35"/>
      <c r="Z5" s="38"/>
      <c r="AA5" s="36"/>
      <c r="AB5" s="39">
        <v>41465.449537037035</v>
      </c>
      <c r="AC5" s="40">
        <v>28</v>
      </c>
      <c r="AD5" s="36" t="s">
        <v>103</v>
      </c>
      <c r="AE5" s="35" t="s">
        <v>104</v>
      </c>
      <c r="AF5" s="35" t="s">
        <v>105</v>
      </c>
      <c r="AJ5" s="34">
        <f>Table_owssvr_1[[#This Row],[Total Connected Load (kW)]]</f>
        <v>14.91398</v>
      </c>
      <c r="AK5" s="34">
        <f>Table_owssvr_1[[#This Row],[Total Connected Load (kW)]]</f>
        <v>14.91398</v>
      </c>
    </row>
    <row r="6" spans="1:38">
      <c r="A6" s="35"/>
      <c r="B6" s="35" t="s">
        <v>106</v>
      </c>
      <c r="C6" s="36"/>
      <c r="D6" s="35"/>
      <c r="E6" s="37" t="b">
        <v>0</v>
      </c>
      <c r="F6" s="37" t="b">
        <v>1</v>
      </c>
      <c r="G6" s="37"/>
      <c r="H6" s="35"/>
      <c r="I6" s="37">
        <v>20</v>
      </c>
      <c r="J6" s="37">
        <v>480</v>
      </c>
      <c r="K6" s="36" t="s">
        <v>101</v>
      </c>
      <c r="L6" s="37">
        <v>0</v>
      </c>
      <c r="M6" s="35"/>
      <c r="N6" s="35"/>
      <c r="O6" s="36" t="s">
        <v>102</v>
      </c>
      <c r="P6" s="37" t="b">
        <v>0</v>
      </c>
      <c r="Q6" s="37">
        <v>14.91398</v>
      </c>
      <c r="R6" s="37">
        <v>0</v>
      </c>
      <c r="S6" s="37" t="b">
        <v>0</v>
      </c>
      <c r="T6" s="35"/>
      <c r="U6" s="37">
        <v>0</v>
      </c>
      <c r="V6" s="35"/>
      <c r="W6" s="35"/>
      <c r="X6" s="35"/>
      <c r="Y6" s="35"/>
      <c r="Z6" s="38"/>
      <c r="AA6" s="36"/>
      <c r="AB6" s="39">
        <v>41465.449791666666</v>
      </c>
      <c r="AC6" s="40">
        <v>29</v>
      </c>
      <c r="AD6" s="36" t="s">
        <v>103</v>
      </c>
      <c r="AE6" s="35" t="s">
        <v>104</v>
      </c>
      <c r="AF6" s="35" t="s">
        <v>105</v>
      </c>
      <c r="AJ6" s="34">
        <v>0</v>
      </c>
      <c r="AK6" s="34">
        <v>0</v>
      </c>
      <c r="AL6" s="34" t="s">
        <v>557</v>
      </c>
    </row>
    <row r="7" spans="1:38">
      <c r="A7" s="35"/>
      <c r="B7" s="35" t="s">
        <v>107</v>
      </c>
      <c r="C7" s="36" t="s">
        <v>108</v>
      </c>
      <c r="D7" s="35"/>
      <c r="E7" s="37" t="b">
        <v>1</v>
      </c>
      <c r="F7" s="37" t="b">
        <v>0</v>
      </c>
      <c r="G7" s="37"/>
      <c r="H7" s="35" t="s">
        <v>109</v>
      </c>
      <c r="I7" s="37">
        <v>0</v>
      </c>
      <c r="J7" s="37">
        <v>480</v>
      </c>
      <c r="K7" s="36" t="s">
        <v>101</v>
      </c>
      <c r="L7" s="37">
        <v>0</v>
      </c>
      <c r="M7" s="35"/>
      <c r="N7" s="35"/>
      <c r="O7" s="36" t="s">
        <v>110</v>
      </c>
      <c r="P7" s="37" t="b">
        <v>1</v>
      </c>
      <c r="Q7" s="37">
        <v>0</v>
      </c>
      <c r="R7" s="37">
        <v>0</v>
      </c>
      <c r="S7" s="37" t="b">
        <v>0</v>
      </c>
      <c r="T7" s="35"/>
      <c r="U7" s="37">
        <v>0</v>
      </c>
      <c r="V7" s="35"/>
      <c r="W7" s="35"/>
      <c r="X7" s="35"/>
      <c r="Y7" s="35"/>
      <c r="Z7" s="38"/>
      <c r="AA7" s="36"/>
      <c r="AB7" s="39">
        <v>41481.472187500003</v>
      </c>
      <c r="AC7" s="40">
        <v>273</v>
      </c>
      <c r="AD7" s="36" t="s">
        <v>103</v>
      </c>
      <c r="AE7" s="35" t="s">
        <v>104</v>
      </c>
      <c r="AF7" s="35" t="s">
        <v>105</v>
      </c>
      <c r="AH7" s="34">
        <v>1</v>
      </c>
      <c r="AJ7" s="34">
        <v>5.9</v>
      </c>
      <c r="AK7" s="34">
        <f>AJ7</f>
        <v>5.9</v>
      </c>
    </row>
    <row r="8" spans="1:38">
      <c r="A8" s="35"/>
      <c r="B8" s="35" t="s">
        <v>111</v>
      </c>
      <c r="C8" s="36" t="s">
        <v>108</v>
      </c>
      <c r="D8" s="35"/>
      <c r="E8" s="37" t="b">
        <v>1</v>
      </c>
      <c r="F8" s="37" t="b">
        <v>0</v>
      </c>
      <c r="G8" s="37"/>
      <c r="H8" s="35" t="s">
        <v>112</v>
      </c>
      <c r="I8" s="37">
        <v>0</v>
      </c>
      <c r="J8" s="37">
        <v>480</v>
      </c>
      <c r="K8" s="36" t="s">
        <v>101</v>
      </c>
      <c r="L8" s="37">
        <v>0</v>
      </c>
      <c r="M8" s="35"/>
      <c r="N8" s="35"/>
      <c r="O8" s="36" t="s">
        <v>110</v>
      </c>
      <c r="P8" s="37" t="b">
        <v>1</v>
      </c>
      <c r="Q8" s="97">
        <v>18.7</v>
      </c>
      <c r="R8" s="37">
        <v>0</v>
      </c>
      <c r="S8" s="37" t="b">
        <v>0</v>
      </c>
      <c r="T8" s="35"/>
      <c r="U8" s="37">
        <v>0</v>
      </c>
      <c r="V8" s="35"/>
      <c r="W8" s="35"/>
      <c r="X8" s="35"/>
      <c r="Y8" s="35"/>
      <c r="Z8" s="38"/>
      <c r="AA8" s="36"/>
      <c r="AB8" s="39">
        <v>41481.472199074073</v>
      </c>
      <c r="AC8" s="40">
        <v>275</v>
      </c>
      <c r="AD8" s="36" t="s">
        <v>103</v>
      </c>
      <c r="AE8" s="35" t="s">
        <v>104</v>
      </c>
      <c r="AF8" s="35" t="s">
        <v>105</v>
      </c>
      <c r="AH8" s="34">
        <v>1</v>
      </c>
      <c r="AJ8" s="34">
        <f>Table_owssvr_1[[#This Row],[Total Connected Load (kW)]]</f>
        <v>18.7</v>
      </c>
      <c r="AK8" s="34">
        <f t="shared" ref="AK8:AK33" si="0">AJ8</f>
        <v>18.7</v>
      </c>
    </row>
    <row r="9" spans="1:38">
      <c r="A9" s="35"/>
      <c r="B9" s="35" t="s">
        <v>113</v>
      </c>
      <c r="C9" s="36" t="s">
        <v>108</v>
      </c>
      <c r="D9" s="35"/>
      <c r="E9" s="37" t="b">
        <v>1</v>
      </c>
      <c r="F9" s="37" t="b">
        <v>0</v>
      </c>
      <c r="G9" s="37"/>
      <c r="H9" s="35"/>
      <c r="I9" s="37">
        <v>0.17</v>
      </c>
      <c r="J9" s="37">
        <v>120</v>
      </c>
      <c r="K9" s="36" t="s">
        <v>101</v>
      </c>
      <c r="L9" s="37">
        <v>0.1</v>
      </c>
      <c r="M9" s="35"/>
      <c r="N9" s="35"/>
      <c r="O9" s="36" t="s">
        <v>110</v>
      </c>
      <c r="P9" s="37" t="b">
        <v>0</v>
      </c>
      <c r="Q9" s="37">
        <v>0.12676883</v>
      </c>
      <c r="R9" s="37">
        <v>7.4569899999999995E-2</v>
      </c>
      <c r="S9" s="37" t="b">
        <v>0</v>
      </c>
      <c r="T9" s="35"/>
      <c r="U9" s="37">
        <v>0</v>
      </c>
      <c r="V9" s="35"/>
      <c r="W9" s="35"/>
      <c r="X9" s="35"/>
      <c r="Y9" s="35"/>
      <c r="Z9" s="38"/>
      <c r="AA9" s="36"/>
      <c r="AB9" s="39">
        <v>41481.472199074073</v>
      </c>
      <c r="AC9" s="40">
        <v>277</v>
      </c>
      <c r="AD9" s="36" t="s">
        <v>103</v>
      </c>
      <c r="AE9" s="35" t="s">
        <v>104</v>
      </c>
      <c r="AF9" s="35" t="s">
        <v>105</v>
      </c>
      <c r="AH9" s="34">
        <v>1</v>
      </c>
      <c r="AJ9" s="34">
        <f>Table_owssvr_1[[#This Row],[Total Expected Load (kW)]]</f>
        <v>7.4569899999999995E-2</v>
      </c>
      <c r="AK9" s="34">
        <f t="shared" si="0"/>
        <v>7.4569899999999995E-2</v>
      </c>
    </row>
    <row r="10" spans="1:38">
      <c r="A10" s="35"/>
      <c r="B10" s="35" t="s">
        <v>114</v>
      </c>
      <c r="C10" s="36" t="s">
        <v>108</v>
      </c>
      <c r="D10" s="35"/>
      <c r="E10" s="37" t="b">
        <v>1</v>
      </c>
      <c r="F10" s="37" t="b">
        <v>0</v>
      </c>
      <c r="G10" s="37"/>
      <c r="H10" s="35" t="s">
        <v>115</v>
      </c>
      <c r="I10" s="37">
        <v>0</v>
      </c>
      <c r="J10" s="37">
        <v>208</v>
      </c>
      <c r="K10" s="36" t="s">
        <v>101</v>
      </c>
      <c r="L10" s="37">
        <v>0</v>
      </c>
      <c r="M10" s="35"/>
      <c r="N10" s="35"/>
      <c r="O10" s="36" t="s">
        <v>102</v>
      </c>
      <c r="P10" s="37" t="b">
        <v>1</v>
      </c>
      <c r="Q10" s="37">
        <v>0</v>
      </c>
      <c r="R10" s="37">
        <v>0</v>
      </c>
      <c r="S10" s="37" t="b">
        <v>0</v>
      </c>
      <c r="T10" s="35"/>
      <c r="U10" s="37">
        <v>0</v>
      </c>
      <c r="V10" s="35"/>
      <c r="W10" s="35"/>
      <c r="X10" s="35"/>
      <c r="Y10" s="35"/>
      <c r="Z10" s="38"/>
      <c r="AA10" s="36"/>
      <c r="AB10" s="39">
        <v>41481.472199074073</v>
      </c>
      <c r="AC10" s="40">
        <v>278</v>
      </c>
      <c r="AD10" s="36" t="s">
        <v>103</v>
      </c>
      <c r="AE10" s="35" t="s">
        <v>104</v>
      </c>
      <c r="AF10" s="35" t="s">
        <v>105</v>
      </c>
      <c r="AH10" s="34">
        <v>1</v>
      </c>
      <c r="AJ10" s="34">
        <f>Table_owssvr_1[[#This Row],[Total Connected Load (kW)]]</f>
        <v>0</v>
      </c>
      <c r="AK10" s="34">
        <f t="shared" si="0"/>
        <v>0</v>
      </c>
    </row>
    <row r="11" spans="1:38">
      <c r="A11" s="35"/>
      <c r="B11" s="35" t="s">
        <v>116</v>
      </c>
      <c r="C11" s="36" t="s">
        <v>108</v>
      </c>
      <c r="D11" s="35"/>
      <c r="E11" s="37" t="b">
        <v>1</v>
      </c>
      <c r="F11" s="37" t="b">
        <v>0</v>
      </c>
      <c r="G11" s="37" t="b">
        <v>0</v>
      </c>
      <c r="H11" s="35" t="s">
        <v>117</v>
      </c>
      <c r="I11" s="37">
        <v>0</v>
      </c>
      <c r="J11" s="37">
        <v>208</v>
      </c>
      <c r="K11" s="36" t="s">
        <v>101</v>
      </c>
      <c r="L11" s="37">
        <v>0</v>
      </c>
      <c r="M11" s="35"/>
      <c r="N11" s="35"/>
      <c r="O11" s="36" t="s">
        <v>102</v>
      </c>
      <c r="P11" s="37" t="b">
        <v>1</v>
      </c>
      <c r="Q11" s="37">
        <v>0</v>
      </c>
      <c r="R11" s="37">
        <v>0</v>
      </c>
      <c r="S11" s="37" t="b">
        <v>0</v>
      </c>
      <c r="T11" s="35"/>
      <c r="U11" s="37">
        <v>0</v>
      </c>
      <c r="V11" s="35"/>
      <c r="W11" s="35"/>
      <c r="X11" s="35"/>
      <c r="Y11" s="35"/>
      <c r="Z11" s="38"/>
      <c r="AA11" s="36"/>
      <c r="AB11" s="39">
        <v>41493.698784722219</v>
      </c>
      <c r="AC11" s="40">
        <v>279</v>
      </c>
      <c r="AD11" s="36" t="s">
        <v>103</v>
      </c>
      <c r="AE11" s="35" t="s">
        <v>104</v>
      </c>
      <c r="AF11" s="35" t="s">
        <v>105</v>
      </c>
      <c r="AH11" s="34">
        <v>1</v>
      </c>
      <c r="AJ11" s="34">
        <f>Table_owssvr_1[[#This Row],[Total Connected Load (kW)]]</f>
        <v>0</v>
      </c>
      <c r="AK11" s="34">
        <f t="shared" si="0"/>
        <v>0</v>
      </c>
    </row>
    <row r="12" spans="1:38">
      <c r="A12" s="35"/>
      <c r="B12" s="35" t="s">
        <v>118</v>
      </c>
      <c r="C12" s="36" t="s">
        <v>108</v>
      </c>
      <c r="D12" s="35"/>
      <c r="E12" s="37" t="b">
        <v>1</v>
      </c>
      <c r="F12" s="37" t="b">
        <v>0</v>
      </c>
      <c r="G12" s="37"/>
      <c r="H12" s="35"/>
      <c r="I12" s="37">
        <v>0.1</v>
      </c>
      <c r="J12" s="37">
        <v>120</v>
      </c>
      <c r="K12" s="36" t="s">
        <v>101</v>
      </c>
      <c r="L12" s="37">
        <v>0</v>
      </c>
      <c r="M12" s="35"/>
      <c r="N12" s="35"/>
      <c r="O12" s="36" t="s">
        <v>110</v>
      </c>
      <c r="P12" s="37" t="b">
        <v>0</v>
      </c>
      <c r="Q12" s="37">
        <v>7.4569899999999995E-2</v>
      </c>
      <c r="R12" s="37">
        <v>0</v>
      </c>
      <c r="S12" s="37" t="b">
        <v>0</v>
      </c>
      <c r="T12" s="35"/>
      <c r="U12" s="37">
        <v>0</v>
      </c>
      <c r="V12" s="35"/>
      <c r="W12" s="35"/>
      <c r="X12" s="35"/>
      <c r="Y12" s="35"/>
      <c r="Z12" s="38"/>
      <c r="AA12" s="36"/>
      <c r="AB12" s="39">
        <v>41481.472199074073</v>
      </c>
      <c r="AC12" s="40">
        <v>280</v>
      </c>
      <c r="AD12" s="36" t="s">
        <v>103</v>
      </c>
      <c r="AE12" s="35" t="s">
        <v>104</v>
      </c>
      <c r="AF12" s="35" t="s">
        <v>105</v>
      </c>
      <c r="AH12" s="34">
        <v>1</v>
      </c>
      <c r="AJ12" s="34">
        <f>Table_owssvr_1[[#This Row],[Total Connected Load (kW)]]</f>
        <v>7.4569899999999995E-2</v>
      </c>
      <c r="AK12" s="34">
        <f t="shared" si="0"/>
        <v>7.4569899999999995E-2</v>
      </c>
    </row>
    <row r="13" spans="1:38">
      <c r="A13" s="35"/>
      <c r="B13" s="35" t="s">
        <v>119</v>
      </c>
      <c r="C13" s="36" t="s">
        <v>108</v>
      </c>
      <c r="D13" s="35"/>
      <c r="E13" s="37" t="b">
        <v>1</v>
      </c>
      <c r="F13" s="37" t="b">
        <v>0</v>
      </c>
      <c r="G13" s="37"/>
      <c r="H13" s="35"/>
      <c r="I13" s="37">
        <v>0.17</v>
      </c>
      <c r="J13" s="37">
        <v>120</v>
      </c>
      <c r="K13" s="36" t="s">
        <v>101</v>
      </c>
      <c r="L13" s="37">
        <v>0.1</v>
      </c>
      <c r="M13" s="35"/>
      <c r="N13" s="35"/>
      <c r="O13" s="36" t="s">
        <v>102</v>
      </c>
      <c r="P13" s="37" t="b">
        <v>0</v>
      </c>
      <c r="Q13" s="37">
        <v>0.12676883</v>
      </c>
      <c r="R13" s="37">
        <v>7.4569899999999995E-2</v>
      </c>
      <c r="S13" s="37" t="b">
        <v>0</v>
      </c>
      <c r="T13" s="35"/>
      <c r="U13" s="37">
        <v>0</v>
      </c>
      <c r="V13" s="35"/>
      <c r="W13" s="35"/>
      <c r="X13" s="35"/>
      <c r="Y13" s="35"/>
      <c r="Z13" s="38"/>
      <c r="AA13" s="36"/>
      <c r="AB13" s="39">
        <v>41481.472199074073</v>
      </c>
      <c r="AC13" s="40">
        <v>281</v>
      </c>
      <c r="AD13" s="36" t="s">
        <v>103</v>
      </c>
      <c r="AE13" s="35" t="s">
        <v>104</v>
      </c>
      <c r="AF13" s="35" t="s">
        <v>105</v>
      </c>
      <c r="AH13" s="34">
        <v>1</v>
      </c>
      <c r="AJ13" s="34">
        <f>Table_owssvr_1[[#This Row],[Total Connected Load (kW)]]</f>
        <v>0.12676883</v>
      </c>
      <c r="AK13" s="34">
        <f t="shared" si="0"/>
        <v>0.12676883</v>
      </c>
    </row>
    <row r="14" spans="1:38" hidden="1">
      <c r="A14" s="35"/>
      <c r="B14" s="35" t="s">
        <v>120</v>
      </c>
      <c r="C14" s="36" t="s">
        <v>121</v>
      </c>
      <c r="D14" s="35" t="s">
        <v>122</v>
      </c>
      <c r="E14" s="37" t="b">
        <v>1</v>
      </c>
      <c r="F14" s="37" t="b">
        <v>0</v>
      </c>
      <c r="G14" s="37"/>
      <c r="H14" s="35"/>
      <c r="I14" s="37">
        <v>0</v>
      </c>
      <c r="J14" s="37"/>
      <c r="K14" s="36" t="s">
        <v>101</v>
      </c>
      <c r="L14" s="37">
        <v>0</v>
      </c>
      <c r="M14" s="35" t="s">
        <v>123</v>
      </c>
      <c r="N14" s="35"/>
      <c r="O14" s="36" t="s">
        <v>102</v>
      </c>
      <c r="P14" s="37" t="b">
        <v>0</v>
      </c>
      <c r="Q14" s="37">
        <v>0</v>
      </c>
      <c r="R14" s="37">
        <v>0</v>
      </c>
      <c r="S14" s="37" t="b">
        <v>0</v>
      </c>
      <c r="T14" s="35"/>
      <c r="U14" s="37">
        <v>0</v>
      </c>
      <c r="V14" s="35"/>
      <c r="W14" s="35"/>
      <c r="X14" s="35"/>
      <c r="Y14" s="35"/>
      <c r="Z14" s="38"/>
      <c r="AA14" s="36"/>
      <c r="AB14" s="39">
        <v>41481.472199074073</v>
      </c>
      <c r="AC14" s="40">
        <v>73</v>
      </c>
      <c r="AD14" s="36" t="s">
        <v>103</v>
      </c>
      <c r="AE14" s="35" t="s">
        <v>104</v>
      </c>
      <c r="AF14" s="35" t="s">
        <v>105</v>
      </c>
      <c r="AJ14" s="34">
        <f>Table_owssvr_1[[#This Row],[Total Connected Load (kW)]]</f>
        <v>0</v>
      </c>
      <c r="AK14" s="34">
        <f t="shared" si="0"/>
        <v>0</v>
      </c>
    </row>
    <row r="15" spans="1:38" hidden="1">
      <c r="A15" s="35"/>
      <c r="B15" s="35" t="s">
        <v>124</v>
      </c>
      <c r="C15" s="36" t="s">
        <v>121</v>
      </c>
      <c r="D15" s="35"/>
      <c r="E15" s="37" t="b">
        <v>1</v>
      </c>
      <c r="F15" s="37" t="b">
        <v>0</v>
      </c>
      <c r="G15" s="37"/>
      <c r="H15" s="35"/>
      <c r="I15" s="37">
        <v>0</v>
      </c>
      <c r="J15" s="37"/>
      <c r="K15" s="36" t="s">
        <v>101</v>
      </c>
      <c r="L15" s="37">
        <v>0</v>
      </c>
      <c r="M15" s="35"/>
      <c r="N15" s="35"/>
      <c r="O15" s="36" t="s">
        <v>102</v>
      </c>
      <c r="P15" s="37" t="b">
        <v>0</v>
      </c>
      <c r="Q15" s="37">
        <v>0</v>
      </c>
      <c r="R15" s="37">
        <v>0</v>
      </c>
      <c r="S15" s="37" t="b">
        <v>0</v>
      </c>
      <c r="T15" s="35"/>
      <c r="U15" s="37">
        <v>0</v>
      </c>
      <c r="V15" s="35"/>
      <c r="W15" s="35"/>
      <c r="X15" s="35"/>
      <c r="Y15" s="35"/>
      <c r="Z15" s="38"/>
      <c r="AA15" s="36"/>
      <c r="AB15" s="39">
        <v>41481.472199074073</v>
      </c>
      <c r="AC15" s="40">
        <v>75</v>
      </c>
      <c r="AD15" s="36" t="s">
        <v>103</v>
      </c>
      <c r="AE15" s="35" t="s">
        <v>104</v>
      </c>
      <c r="AF15" s="35" t="s">
        <v>105</v>
      </c>
      <c r="AJ15" s="34">
        <f>Table_owssvr_1[[#This Row],[Total Connected Load (kW)]]</f>
        <v>0</v>
      </c>
      <c r="AK15" s="34">
        <f t="shared" si="0"/>
        <v>0</v>
      </c>
    </row>
    <row r="16" spans="1:38" hidden="1">
      <c r="A16" s="35"/>
      <c r="B16" s="35" t="s">
        <v>125</v>
      </c>
      <c r="C16" s="36" t="s">
        <v>121</v>
      </c>
      <c r="D16" s="35"/>
      <c r="E16" s="37" t="b">
        <v>1</v>
      </c>
      <c r="F16" s="37" t="b">
        <v>0</v>
      </c>
      <c r="G16" s="37"/>
      <c r="H16" s="35"/>
      <c r="I16" s="37">
        <v>0</v>
      </c>
      <c r="J16" s="37"/>
      <c r="K16" s="36" t="s">
        <v>101</v>
      </c>
      <c r="L16" s="37">
        <v>0</v>
      </c>
      <c r="M16" s="35"/>
      <c r="N16" s="35"/>
      <c r="O16" s="36" t="s">
        <v>102</v>
      </c>
      <c r="P16" s="37" t="b">
        <v>0</v>
      </c>
      <c r="Q16" s="37">
        <v>0</v>
      </c>
      <c r="R16" s="37">
        <v>0</v>
      </c>
      <c r="S16" s="37" t="b">
        <v>0</v>
      </c>
      <c r="T16" s="35"/>
      <c r="U16" s="37">
        <v>0</v>
      </c>
      <c r="V16" s="35"/>
      <c r="W16" s="35"/>
      <c r="X16" s="35"/>
      <c r="Y16" s="35"/>
      <c r="Z16" s="38"/>
      <c r="AA16" s="36"/>
      <c r="AB16" s="39">
        <v>41481.472199074073</v>
      </c>
      <c r="AC16" s="40">
        <v>129</v>
      </c>
      <c r="AD16" s="36" t="s">
        <v>103</v>
      </c>
      <c r="AE16" s="35" t="s">
        <v>104</v>
      </c>
      <c r="AF16" s="35" t="s">
        <v>105</v>
      </c>
      <c r="AJ16" s="34">
        <f>Table_owssvr_1[[#This Row],[Total Connected Load (kW)]]</f>
        <v>0</v>
      </c>
      <c r="AK16" s="34">
        <f t="shared" si="0"/>
        <v>0</v>
      </c>
    </row>
    <row r="17" spans="1:37" hidden="1">
      <c r="A17" s="35"/>
      <c r="B17" s="35" t="s">
        <v>126</v>
      </c>
      <c r="C17" s="36" t="s">
        <v>121</v>
      </c>
      <c r="D17" s="35"/>
      <c r="E17" s="37" t="b">
        <v>0</v>
      </c>
      <c r="F17" s="37" t="b">
        <v>1</v>
      </c>
      <c r="G17" s="37"/>
      <c r="H17" s="35"/>
      <c r="I17" s="37">
        <v>0</v>
      </c>
      <c r="J17" s="37"/>
      <c r="K17" s="36" t="s">
        <v>101</v>
      </c>
      <c r="L17" s="37">
        <v>0</v>
      </c>
      <c r="M17" s="35"/>
      <c r="N17" s="35"/>
      <c r="O17" s="36" t="s">
        <v>102</v>
      </c>
      <c r="P17" s="37" t="b">
        <v>0</v>
      </c>
      <c r="Q17" s="37">
        <v>0</v>
      </c>
      <c r="R17" s="37">
        <v>0</v>
      </c>
      <c r="S17" s="37" t="b">
        <v>0</v>
      </c>
      <c r="T17" s="35"/>
      <c r="U17" s="37">
        <v>0</v>
      </c>
      <c r="V17" s="35"/>
      <c r="W17" s="35"/>
      <c r="X17" s="35"/>
      <c r="Y17" s="35"/>
      <c r="Z17" s="38"/>
      <c r="AA17" s="36"/>
      <c r="AB17" s="39">
        <v>41481.472199074073</v>
      </c>
      <c r="AC17" s="40">
        <v>130</v>
      </c>
      <c r="AD17" s="36" t="s">
        <v>103</v>
      </c>
      <c r="AE17" s="35" t="s">
        <v>104</v>
      </c>
      <c r="AF17" s="35" t="s">
        <v>105</v>
      </c>
      <c r="AJ17" s="34">
        <f>Table_owssvr_1[[#This Row],[Total Connected Load (kW)]]</f>
        <v>0</v>
      </c>
      <c r="AK17" s="34">
        <f t="shared" si="0"/>
        <v>0</v>
      </c>
    </row>
    <row r="18" spans="1:37" hidden="1">
      <c r="A18" s="35"/>
      <c r="B18" s="35" t="s">
        <v>127</v>
      </c>
      <c r="C18" s="36" t="s">
        <v>121</v>
      </c>
      <c r="D18" s="35"/>
      <c r="E18" s="37" t="b">
        <v>1</v>
      </c>
      <c r="F18" s="37" t="b">
        <v>0</v>
      </c>
      <c r="G18" s="37"/>
      <c r="H18" s="35"/>
      <c r="I18" s="37">
        <v>0</v>
      </c>
      <c r="J18" s="37"/>
      <c r="K18" s="36" t="s">
        <v>101</v>
      </c>
      <c r="L18" s="37">
        <v>0</v>
      </c>
      <c r="M18" s="35"/>
      <c r="N18" s="35"/>
      <c r="O18" s="36" t="s">
        <v>102</v>
      </c>
      <c r="P18" s="37" t="b">
        <v>0</v>
      </c>
      <c r="Q18" s="37">
        <v>0</v>
      </c>
      <c r="R18" s="37">
        <v>0</v>
      </c>
      <c r="S18" s="37" t="b">
        <v>0</v>
      </c>
      <c r="T18" s="35"/>
      <c r="U18" s="37">
        <v>0</v>
      </c>
      <c r="V18" s="35"/>
      <c r="W18" s="35"/>
      <c r="X18" s="35"/>
      <c r="Y18" s="35"/>
      <c r="Z18" s="38"/>
      <c r="AA18" s="36"/>
      <c r="AB18" s="39">
        <v>41481.472314814811</v>
      </c>
      <c r="AC18" s="40">
        <v>133</v>
      </c>
      <c r="AD18" s="36" t="s">
        <v>103</v>
      </c>
      <c r="AE18" s="35" t="s">
        <v>104</v>
      </c>
      <c r="AF18" s="35" t="s">
        <v>105</v>
      </c>
      <c r="AJ18" s="34">
        <f>Table_owssvr_1[[#This Row],[Total Connected Load (kW)]]</f>
        <v>0</v>
      </c>
      <c r="AK18" s="34">
        <f t="shared" si="0"/>
        <v>0</v>
      </c>
    </row>
    <row r="19" spans="1:37" hidden="1">
      <c r="A19" s="35"/>
      <c r="B19" s="35" t="s">
        <v>128</v>
      </c>
      <c r="C19" s="36" t="s">
        <v>121</v>
      </c>
      <c r="D19" s="35"/>
      <c r="E19" s="37" t="b">
        <v>1</v>
      </c>
      <c r="F19" s="37" t="b">
        <v>0</v>
      </c>
      <c r="G19" s="37"/>
      <c r="H19" s="35"/>
      <c r="I19" s="37">
        <v>0</v>
      </c>
      <c r="J19" s="37"/>
      <c r="K19" s="36" t="s">
        <v>101</v>
      </c>
      <c r="L19" s="37">
        <v>0</v>
      </c>
      <c r="M19" s="35"/>
      <c r="N19" s="35"/>
      <c r="O19" s="36" t="s">
        <v>102</v>
      </c>
      <c r="P19" s="37" t="b">
        <v>0</v>
      </c>
      <c r="Q19" s="37">
        <v>0</v>
      </c>
      <c r="R19" s="37">
        <v>0</v>
      </c>
      <c r="S19" s="37" t="b">
        <v>0</v>
      </c>
      <c r="T19" s="35"/>
      <c r="U19" s="37">
        <v>0</v>
      </c>
      <c r="V19" s="35"/>
      <c r="W19" s="35"/>
      <c r="X19" s="35"/>
      <c r="Y19" s="35"/>
      <c r="Z19" s="38"/>
      <c r="AA19" s="36"/>
      <c r="AB19" s="39">
        <v>41481.472314814811</v>
      </c>
      <c r="AC19" s="40">
        <v>134</v>
      </c>
      <c r="AD19" s="36" t="s">
        <v>103</v>
      </c>
      <c r="AE19" s="35" t="s">
        <v>104</v>
      </c>
      <c r="AF19" s="35" t="s">
        <v>105</v>
      </c>
      <c r="AJ19" s="34">
        <f>Table_owssvr_1[[#This Row],[Total Connected Load (kW)]]</f>
        <v>0</v>
      </c>
      <c r="AK19" s="34">
        <f t="shared" si="0"/>
        <v>0</v>
      </c>
    </row>
    <row r="20" spans="1:37" hidden="1">
      <c r="A20" s="35"/>
      <c r="B20" s="35" t="s">
        <v>129</v>
      </c>
      <c r="C20" s="36" t="s">
        <v>121</v>
      </c>
      <c r="D20" s="35"/>
      <c r="E20" s="37" t="b">
        <v>1</v>
      </c>
      <c r="F20" s="37" t="b">
        <v>0</v>
      </c>
      <c r="G20" s="37"/>
      <c r="H20" s="35"/>
      <c r="I20" s="37">
        <v>0</v>
      </c>
      <c r="J20" s="37"/>
      <c r="K20" s="36" t="s">
        <v>101</v>
      </c>
      <c r="L20" s="37">
        <v>0</v>
      </c>
      <c r="M20" s="35"/>
      <c r="N20" s="35"/>
      <c r="O20" s="36" t="s">
        <v>102</v>
      </c>
      <c r="P20" s="37" t="b">
        <v>0</v>
      </c>
      <c r="Q20" s="37">
        <v>0</v>
      </c>
      <c r="R20" s="37">
        <v>0</v>
      </c>
      <c r="S20" s="37" t="b">
        <v>0</v>
      </c>
      <c r="T20" s="35"/>
      <c r="U20" s="37">
        <v>0</v>
      </c>
      <c r="V20" s="35"/>
      <c r="W20" s="35"/>
      <c r="X20" s="35"/>
      <c r="Y20" s="35"/>
      <c r="Z20" s="38"/>
      <c r="AA20" s="36"/>
      <c r="AB20" s="39">
        <v>41481.472314814811</v>
      </c>
      <c r="AC20" s="40">
        <v>135</v>
      </c>
      <c r="AD20" s="36" t="s">
        <v>103</v>
      </c>
      <c r="AE20" s="35" t="s">
        <v>104</v>
      </c>
      <c r="AF20" s="35" t="s">
        <v>105</v>
      </c>
      <c r="AJ20" s="34">
        <f>Table_owssvr_1[[#This Row],[Total Connected Load (kW)]]</f>
        <v>0</v>
      </c>
      <c r="AK20" s="34">
        <f t="shared" si="0"/>
        <v>0</v>
      </c>
    </row>
    <row r="21" spans="1:37" hidden="1">
      <c r="A21" s="35"/>
      <c r="B21" s="35" t="s">
        <v>130</v>
      </c>
      <c r="C21" s="36" t="s">
        <v>121</v>
      </c>
      <c r="D21" s="35"/>
      <c r="E21" s="37" t="b">
        <v>1</v>
      </c>
      <c r="F21" s="37" t="b">
        <v>0</v>
      </c>
      <c r="G21" s="37"/>
      <c r="H21" s="35"/>
      <c r="I21" s="37">
        <v>0</v>
      </c>
      <c r="J21" s="37"/>
      <c r="K21" s="36" t="s">
        <v>101</v>
      </c>
      <c r="L21" s="37">
        <v>0</v>
      </c>
      <c r="M21" s="35"/>
      <c r="N21" s="35"/>
      <c r="O21" s="36" t="s">
        <v>102</v>
      </c>
      <c r="P21" s="37" t="b">
        <v>0</v>
      </c>
      <c r="Q21" s="37">
        <v>0</v>
      </c>
      <c r="R21" s="37">
        <v>0</v>
      </c>
      <c r="S21" s="37" t="b">
        <v>0</v>
      </c>
      <c r="T21" s="35"/>
      <c r="U21" s="37">
        <v>0</v>
      </c>
      <c r="V21" s="35"/>
      <c r="W21" s="35"/>
      <c r="X21" s="35"/>
      <c r="Y21" s="35"/>
      <c r="Z21" s="38"/>
      <c r="AA21" s="36"/>
      <c r="AB21" s="39">
        <v>41481.472314814811</v>
      </c>
      <c r="AC21" s="40">
        <v>136</v>
      </c>
      <c r="AD21" s="36" t="s">
        <v>103</v>
      </c>
      <c r="AE21" s="35" t="s">
        <v>104</v>
      </c>
      <c r="AF21" s="35" t="s">
        <v>105</v>
      </c>
      <c r="AJ21" s="34">
        <f>Table_owssvr_1[[#This Row],[Total Connected Load (kW)]]</f>
        <v>0</v>
      </c>
      <c r="AK21" s="34">
        <f t="shared" si="0"/>
        <v>0</v>
      </c>
    </row>
    <row r="22" spans="1:37" hidden="1">
      <c r="A22" s="35"/>
      <c r="B22" s="35" t="s">
        <v>131</v>
      </c>
      <c r="C22" s="36" t="s">
        <v>121</v>
      </c>
      <c r="D22" s="35"/>
      <c r="E22" s="37" t="b">
        <v>1</v>
      </c>
      <c r="F22" s="37" t="b">
        <v>0</v>
      </c>
      <c r="G22" s="37"/>
      <c r="H22" s="35"/>
      <c r="I22" s="37">
        <v>0</v>
      </c>
      <c r="J22" s="37"/>
      <c r="K22" s="36" t="s">
        <v>101</v>
      </c>
      <c r="L22" s="37">
        <v>0</v>
      </c>
      <c r="M22" s="35"/>
      <c r="N22" s="35"/>
      <c r="O22" s="36" t="s">
        <v>102</v>
      </c>
      <c r="P22" s="37" t="b">
        <v>0</v>
      </c>
      <c r="Q22" s="37">
        <v>0</v>
      </c>
      <c r="R22" s="37">
        <v>0</v>
      </c>
      <c r="S22" s="37" t="b">
        <v>0</v>
      </c>
      <c r="T22" s="35"/>
      <c r="U22" s="37">
        <v>0</v>
      </c>
      <c r="V22" s="35"/>
      <c r="W22" s="35"/>
      <c r="X22" s="35"/>
      <c r="Y22" s="35"/>
      <c r="Z22" s="38"/>
      <c r="AA22" s="36"/>
      <c r="AB22" s="39">
        <v>41481.472314814811</v>
      </c>
      <c r="AC22" s="40">
        <v>137</v>
      </c>
      <c r="AD22" s="36" t="s">
        <v>103</v>
      </c>
      <c r="AE22" s="35" t="s">
        <v>104</v>
      </c>
      <c r="AF22" s="35" t="s">
        <v>105</v>
      </c>
      <c r="AJ22" s="34">
        <f>Table_owssvr_1[[#This Row],[Total Connected Load (kW)]]</f>
        <v>0</v>
      </c>
      <c r="AK22" s="34">
        <f t="shared" si="0"/>
        <v>0</v>
      </c>
    </row>
    <row r="23" spans="1:37" hidden="1">
      <c r="A23" s="35"/>
      <c r="B23" s="35" t="s">
        <v>132</v>
      </c>
      <c r="C23" s="36" t="s">
        <v>121</v>
      </c>
      <c r="D23" s="35"/>
      <c r="E23" s="37" t="b">
        <v>1</v>
      </c>
      <c r="F23" s="37" t="b">
        <v>0</v>
      </c>
      <c r="G23" s="37"/>
      <c r="H23" s="35"/>
      <c r="I23" s="37">
        <v>0</v>
      </c>
      <c r="J23" s="37"/>
      <c r="K23" s="36" t="s">
        <v>101</v>
      </c>
      <c r="L23" s="37">
        <v>0</v>
      </c>
      <c r="M23" s="35"/>
      <c r="N23" s="35"/>
      <c r="O23" s="36" t="s">
        <v>102</v>
      </c>
      <c r="P23" s="37" t="b">
        <v>0</v>
      </c>
      <c r="Q23" s="37">
        <v>0</v>
      </c>
      <c r="R23" s="37">
        <v>0</v>
      </c>
      <c r="S23" s="37" t="b">
        <v>0</v>
      </c>
      <c r="T23" s="35"/>
      <c r="U23" s="37">
        <v>0</v>
      </c>
      <c r="V23" s="35"/>
      <c r="W23" s="35"/>
      <c r="X23" s="35"/>
      <c r="Y23" s="35"/>
      <c r="Z23" s="38"/>
      <c r="AA23" s="36"/>
      <c r="AB23" s="39">
        <v>41481.472314814811</v>
      </c>
      <c r="AC23" s="40">
        <v>138</v>
      </c>
      <c r="AD23" s="36" t="s">
        <v>103</v>
      </c>
      <c r="AE23" s="35" t="s">
        <v>104</v>
      </c>
      <c r="AF23" s="35" t="s">
        <v>105</v>
      </c>
      <c r="AJ23" s="34">
        <f>Table_owssvr_1[[#This Row],[Total Connected Load (kW)]]</f>
        <v>0</v>
      </c>
      <c r="AK23" s="34">
        <f t="shared" si="0"/>
        <v>0</v>
      </c>
    </row>
    <row r="24" spans="1:37" hidden="1">
      <c r="A24" s="35"/>
      <c r="B24" s="35" t="s">
        <v>133</v>
      </c>
      <c r="C24" s="36" t="s">
        <v>121</v>
      </c>
      <c r="D24" s="35"/>
      <c r="E24" s="37" t="b">
        <v>1</v>
      </c>
      <c r="F24" s="37" t="b">
        <v>0</v>
      </c>
      <c r="G24" s="37"/>
      <c r="H24" s="35"/>
      <c r="I24" s="37">
        <v>0</v>
      </c>
      <c r="J24" s="37"/>
      <c r="K24" s="36" t="s">
        <v>101</v>
      </c>
      <c r="L24" s="37">
        <v>0</v>
      </c>
      <c r="M24" s="35"/>
      <c r="N24" s="35"/>
      <c r="O24" s="36" t="s">
        <v>102</v>
      </c>
      <c r="P24" s="37" t="b">
        <v>0</v>
      </c>
      <c r="Q24" s="37">
        <v>0</v>
      </c>
      <c r="R24" s="37">
        <v>0</v>
      </c>
      <c r="S24" s="37" t="b">
        <v>0</v>
      </c>
      <c r="T24" s="35"/>
      <c r="U24" s="37">
        <v>0</v>
      </c>
      <c r="V24" s="35"/>
      <c r="W24" s="35"/>
      <c r="X24" s="35"/>
      <c r="Y24" s="35"/>
      <c r="Z24" s="38"/>
      <c r="AA24" s="36"/>
      <c r="AB24" s="39">
        <v>41481.472314814811</v>
      </c>
      <c r="AC24" s="40">
        <v>139</v>
      </c>
      <c r="AD24" s="36" t="s">
        <v>103</v>
      </c>
      <c r="AE24" s="35" t="s">
        <v>104</v>
      </c>
      <c r="AF24" s="35" t="s">
        <v>105</v>
      </c>
      <c r="AJ24" s="34">
        <f>Table_owssvr_1[[#This Row],[Total Connected Load (kW)]]</f>
        <v>0</v>
      </c>
      <c r="AK24" s="34">
        <f t="shared" si="0"/>
        <v>0</v>
      </c>
    </row>
    <row r="25" spans="1:37" hidden="1">
      <c r="A25" s="35"/>
      <c r="B25" s="35" t="s">
        <v>134</v>
      </c>
      <c r="C25" s="36" t="s">
        <v>121</v>
      </c>
      <c r="D25" s="35"/>
      <c r="E25" s="37" t="b">
        <v>1</v>
      </c>
      <c r="F25" s="37" t="b">
        <v>0</v>
      </c>
      <c r="G25" s="37"/>
      <c r="H25" s="35"/>
      <c r="I25" s="37">
        <v>0</v>
      </c>
      <c r="J25" s="37"/>
      <c r="K25" s="36" t="s">
        <v>101</v>
      </c>
      <c r="L25" s="37">
        <v>0</v>
      </c>
      <c r="M25" s="35"/>
      <c r="N25" s="35"/>
      <c r="O25" s="36" t="s">
        <v>102</v>
      </c>
      <c r="P25" s="37" t="b">
        <v>0</v>
      </c>
      <c r="Q25" s="37">
        <v>0</v>
      </c>
      <c r="R25" s="37">
        <v>0</v>
      </c>
      <c r="S25" s="37" t="b">
        <v>0</v>
      </c>
      <c r="T25" s="35"/>
      <c r="U25" s="37">
        <v>0</v>
      </c>
      <c r="V25" s="35"/>
      <c r="W25" s="35"/>
      <c r="X25" s="35"/>
      <c r="Y25" s="35"/>
      <c r="Z25" s="38"/>
      <c r="AA25" s="36"/>
      <c r="AB25" s="39">
        <v>41481.472314814811</v>
      </c>
      <c r="AC25" s="40">
        <v>140</v>
      </c>
      <c r="AD25" s="36" t="s">
        <v>103</v>
      </c>
      <c r="AE25" s="35" t="s">
        <v>104</v>
      </c>
      <c r="AF25" s="35" t="s">
        <v>105</v>
      </c>
      <c r="AJ25" s="34">
        <f>Table_owssvr_1[[#This Row],[Total Connected Load (kW)]]</f>
        <v>0</v>
      </c>
      <c r="AK25" s="34">
        <f t="shared" si="0"/>
        <v>0</v>
      </c>
    </row>
    <row r="26" spans="1:37" hidden="1">
      <c r="A26" s="35"/>
      <c r="B26" s="35" t="s">
        <v>135</v>
      </c>
      <c r="C26" s="36" t="s">
        <v>121</v>
      </c>
      <c r="D26" s="35"/>
      <c r="E26" s="37" t="b">
        <v>0</v>
      </c>
      <c r="F26" s="37" t="b">
        <v>1</v>
      </c>
      <c r="G26" s="37"/>
      <c r="H26" s="35"/>
      <c r="I26" s="37">
        <v>0</v>
      </c>
      <c r="J26" s="37"/>
      <c r="K26" s="36" t="s">
        <v>101</v>
      </c>
      <c r="L26" s="37">
        <v>0</v>
      </c>
      <c r="M26" s="35"/>
      <c r="N26" s="35"/>
      <c r="O26" s="36" t="s">
        <v>102</v>
      </c>
      <c r="P26" s="37" t="b">
        <v>0</v>
      </c>
      <c r="Q26" s="37">
        <v>0</v>
      </c>
      <c r="R26" s="37">
        <v>0</v>
      </c>
      <c r="S26" s="37" t="b">
        <v>0</v>
      </c>
      <c r="T26" s="35"/>
      <c r="U26" s="37">
        <v>0</v>
      </c>
      <c r="V26" s="35"/>
      <c r="W26" s="35"/>
      <c r="X26" s="35"/>
      <c r="Y26" s="35"/>
      <c r="Z26" s="38"/>
      <c r="AA26" s="36"/>
      <c r="AB26" s="39">
        <v>41481.472337962965</v>
      </c>
      <c r="AC26" s="40">
        <v>141</v>
      </c>
      <c r="AD26" s="36" t="s">
        <v>103</v>
      </c>
      <c r="AE26" s="35" t="s">
        <v>104</v>
      </c>
      <c r="AF26" s="35" t="s">
        <v>105</v>
      </c>
      <c r="AJ26" s="34">
        <f>Table_owssvr_1[[#This Row],[Total Connected Load (kW)]]</f>
        <v>0</v>
      </c>
      <c r="AK26" s="34">
        <f t="shared" si="0"/>
        <v>0</v>
      </c>
    </row>
    <row r="27" spans="1:37" hidden="1">
      <c r="A27" s="35"/>
      <c r="B27" s="35" t="s">
        <v>136</v>
      </c>
      <c r="C27" s="36" t="s">
        <v>121</v>
      </c>
      <c r="D27" s="35"/>
      <c r="E27" s="37" t="b">
        <v>0</v>
      </c>
      <c r="F27" s="37" t="b">
        <v>0</v>
      </c>
      <c r="G27" s="37"/>
      <c r="H27" s="35"/>
      <c r="I27" s="37">
        <v>0</v>
      </c>
      <c r="J27" s="37"/>
      <c r="K27" s="36" t="s">
        <v>101</v>
      </c>
      <c r="L27" s="37">
        <v>0</v>
      </c>
      <c r="M27" s="35"/>
      <c r="N27" s="35"/>
      <c r="O27" s="36" t="s">
        <v>102</v>
      </c>
      <c r="P27" s="37" t="b">
        <v>0</v>
      </c>
      <c r="Q27" s="37">
        <v>0</v>
      </c>
      <c r="R27" s="37">
        <v>0</v>
      </c>
      <c r="S27" s="37" t="b">
        <v>0</v>
      </c>
      <c r="T27" s="35"/>
      <c r="U27" s="37">
        <v>0</v>
      </c>
      <c r="V27" s="35"/>
      <c r="W27" s="35"/>
      <c r="X27" s="35"/>
      <c r="Y27" s="35"/>
      <c r="Z27" s="38"/>
      <c r="AA27" s="36"/>
      <c r="AB27" s="39">
        <v>41481.472337962965</v>
      </c>
      <c r="AC27" s="40">
        <v>142</v>
      </c>
      <c r="AD27" s="36" t="s">
        <v>103</v>
      </c>
      <c r="AE27" s="35" t="s">
        <v>104</v>
      </c>
      <c r="AF27" s="35" t="s">
        <v>105</v>
      </c>
      <c r="AJ27" s="34">
        <f>Table_owssvr_1[[#This Row],[Total Connected Load (kW)]]</f>
        <v>0</v>
      </c>
      <c r="AK27" s="34">
        <f t="shared" si="0"/>
        <v>0</v>
      </c>
    </row>
    <row r="28" spans="1:37">
      <c r="A28" s="35"/>
      <c r="B28" s="35" t="s">
        <v>137</v>
      </c>
      <c r="C28" s="36" t="s">
        <v>121</v>
      </c>
      <c r="D28" s="35"/>
      <c r="E28" s="37" t="b">
        <v>1</v>
      </c>
      <c r="F28" s="37" t="b">
        <v>0</v>
      </c>
      <c r="G28" s="37"/>
      <c r="H28" s="35"/>
      <c r="I28" s="37">
        <v>2</v>
      </c>
      <c r="J28" s="37">
        <v>208</v>
      </c>
      <c r="K28" s="36" t="s">
        <v>138</v>
      </c>
      <c r="L28" s="37">
        <v>1.1000000000000001</v>
      </c>
      <c r="M28" s="35"/>
      <c r="N28" s="35"/>
      <c r="O28" s="36" t="s">
        <v>110</v>
      </c>
      <c r="P28" s="37" t="b">
        <v>0</v>
      </c>
      <c r="Q28" s="37">
        <v>1.491398</v>
      </c>
      <c r="R28" s="37">
        <v>0.82026889999999997</v>
      </c>
      <c r="S28" s="37" t="b">
        <v>0</v>
      </c>
      <c r="T28" s="35"/>
      <c r="U28" s="37">
        <v>0</v>
      </c>
      <c r="V28" s="35"/>
      <c r="W28" s="35"/>
      <c r="X28" s="35"/>
      <c r="Y28" s="35"/>
      <c r="Z28" s="38"/>
      <c r="AA28" s="36"/>
      <c r="AB28" s="39">
        <v>41481.472337962965</v>
      </c>
      <c r="AC28" s="40">
        <v>184</v>
      </c>
      <c r="AD28" s="36" t="s">
        <v>103</v>
      </c>
      <c r="AE28" s="35" t="s">
        <v>104</v>
      </c>
      <c r="AF28" s="35" t="s">
        <v>105</v>
      </c>
      <c r="AH28" s="34">
        <v>1</v>
      </c>
      <c r="AJ28" s="34">
        <f>Table_owssvr_1[[#This Row],[Total Connected Load (kW)]]</f>
        <v>1.491398</v>
      </c>
      <c r="AK28" s="34">
        <f t="shared" si="0"/>
        <v>1.491398</v>
      </c>
    </row>
    <row r="29" spans="1:37">
      <c r="A29" s="35"/>
      <c r="B29" s="35" t="s">
        <v>139</v>
      </c>
      <c r="C29" s="36" t="s">
        <v>121</v>
      </c>
      <c r="D29" s="35"/>
      <c r="E29" s="37" t="b">
        <v>1</v>
      </c>
      <c r="F29" s="37" t="b">
        <v>0</v>
      </c>
      <c r="G29" s="37"/>
      <c r="H29" s="35"/>
      <c r="I29" s="37">
        <v>3</v>
      </c>
      <c r="J29" s="37">
        <v>208</v>
      </c>
      <c r="K29" s="36" t="s">
        <v>138</v>
      </c>
      <c r="L29" s="37">
        <v>1.8</v>
      </c>
      <c r="M29" s="35"/>
      <c r="N29" s="35"/>
      <c r="O29" s="36" t="s">
        <v>110</v>
      </c>
      <c r="P29" s="37" t="b">
        <v>0</v>
      </c>
      <c r="Q29" s="37">
        <v>2.2370969999999999</v>
      </c>
      <c r="R29" s="37">
        <v>1.3422582000000001</v>
      </c>
      <c r="S29" s="37" t="b">
        <v>0</v>
      </c>
      <c r="T29" s="35"/>
      <c r="U29" s="37">
        <v>0</v>
      </c>
      <c r="V29" s="35"/>
      <c r="W29" s="35"/>
      <c r="X29" s="35"/>
      <c r="Y29" s="35"/>
      <c r="Z29" s="38"/>
      <c r="AA29" s="36"/>
      <c r="AB29" s="39">
        <v>41481.472337962965</v>
      </c>
      <c r="AC29" s="40">
        <v>185</v>
      </c>
      <c r="AD29" s="36" t="s">
        <v>103</v>
      </c>
      <c r="AE29" s="35" t="s">
        <v>104</v>
      </c>
      <c r="AF29" s="35" t="s">
        <v>105</v>
      </c>
      <c r="AH29" s="34">
        <v>1</v>
      </c>
      <c r="AJ29" s="34">
        <f>Table_owssvr_1[[#This Row],[Total Connected Load (kW)]]</f>
        <v>2.2370969999999999</v>
      </c>
      <c r="AK29" s="34">
        <f t="shared" si="0"/>
        <v>2.2370969999999999</v>
      </c>
    </row>
    <row r="30" spans="1:37">
      <c r="A30" s="35"/>
      <c r="B30" s="35" t="s">
        <v>140</v>
      </c>
      <c r="C30" s="36" t="s">
        <v>121</v>
      </c>
      <c r="D30" s="35"/>
      <c r="E30" s="37" t="b">
        <v>1</v>
      </c>
      <c r="F30" s="37" t="b">
        <v>0</v>
      </c>
      <c r="G30" s="37"/>
      <c r="H30" s="35"/>
      <c r="I30" s="37">
        <v>1</v>
      </c>
      <c r="J30" s="37">
        <v>208</v>
      </c>
      <c r="K30" s="36" t="s">
        <v>138</v>
      </c>
      <c r="L30" s="37">
        <v>0.6</v>
      </c>
      <c r="M30" s="35"/>
      <c r="N30" s="35"/>
      <c r="O30" s="36" t="s">
        <v>110</v>
      </c>
      <c r="P30" s="37" t="b">
        <v>0</v>
      </c>
      <c r="Q30" s="37">
        <v>0.745699</v>
      </c>
      <c r="R30" s="37">
        <v>0.44741940000000002</v>
      </c>
      <c r="S30" s="37" t="b">
        <v>0</v>
      </c>
      <c r="T30" s="35"/>
      <c r="U30" s="37">
        <v>0</v>
      </c>
      <c r="V30" s="35"/>
      <c r="W30" s="35"/>
      <c r="X30" s="35"/>
      <c r="Y30" s="35"/>
      <c r="Z30" s="38"/>
      <c r="AA30" s="36"/>
      <c r="AB30" s="39">
        <v>41481.472337962965</v>
      </c>
      <c r="AC30" s="40">
        <v>213</v>
      </c>
      <c r="AD30" s="36" t="s">
        <v>103</v>
      </c>
      <c r="AE30" s="35" t="s">
        <v>104</v>
      </c>
      <c r="AF30" s="35" t="s">
        <v>105</v>
      </c>
      <c r="AH30" s="34">
        <v>1</v>
      </c>
      <c r="AJ30" s="34">
        <f>Table_owssvr_1[[#This Row],[Total Connected Load (kW)]]</f>
        <v>0.745699</v>
      </c>
      <c r="AK30" s="34">
        <f t="shared" si="0"/>
        <v>0.745699</v>
      </c>
    </row>
    <row r="31" spans="1:37">
      <c r="A31" s="35"/>
      <c r="B31" s="35" t="s">
        <v>141</v>
      </c>
      <c r="C31" s="36" t="s">
        <v>121</v>
      </c>
      <c r="D31" s="35"/>
      <c r="E31" s="37" t="b">
        <v>1</v>
      </c>
      <c r="F31" s="37" t="b">
        <v>0</v>
      </c>
      <c r="G31" s="37"/>
      <c r="H31" s="35"/>
      <c r="I31" s="37">
        <v>2</v>
      </c>
      <c r="J31" s="37">
        <v>208</v>
      </c>
      <c r="K31" s="36" t="s">
        <v>138</v>
      </c>
      <c r="L31" s="37">
        <v>1.1000000000000001</v>
      </c>
      <c r="M31" s="35"/>
      <c r="N31" s="35"/>
      <c r="O31" s="36" t="s">
        <v>110</v>
      </c>
      <c r="P31" s="37" t="b">
        <v>0</v>
      </c>
      <c r="Q31" s="37">
        <v>1.491398</v>
      </c>
      <c r="R31" s="37">
        <v>0.82026889999999997</v>
      </c>
      <c r="S31" s="37" t="b">
        <v>0</v>
      </c>
      <c r="T31" s="35"/>
      <c r="U31" s="37">
        <v>0</v>
      </c>
      <c r="V31" s="35"/>
      <c r="W31" s="35"/>
      <c r="X31" s="35"/>
      <c r="Y31" s="35"/>
      <c r="Z31" s="38"/>
      <c r="AA31" s="36"/>
      <c r="AB31" s="39">
        <v>41481.472337962965</v>
      </c>
      <c r="AC31" s="40">
        <v>214</v>
      </c>
      <c r="AD31" s="36" t="s">
        <v>103</v>
      </c>
      <c r="AE31" s="35" t="s">
        <v>104</v>
      </c>
      <c r="AF31" s="35" t="s">
        <v>105</v>
      </c>
      <c r="AH31" s="34">
        <v>1</v>
      </c>
      <c r="AJ31" s="34">
        <f>Table_owssvr_1[[#This Row],[Total Connected Load (kW)]]</f>
        <v>1.491398</v>
      </c>
      <c r="AK31" s="34">
        <f t="shared" si="0"/>
        <v>1.491398</v>
      </c>
    </row>
    <row r="32" spans="1:37">
      <c r="A32" s="35"/>
      <c r="B32" s="35" t="s">
        <v>142</v>
      </c>
      <c r="C32" s="36" t="s">
        <v>121</v>
      </c>
      <c r="D32" s="35"/>
      <c r="E32" s="37" t="b">
        <v>1</v>
      </c>
      <c r="F32" s="37" t="b">
        <v>0</v>
      </c>
      <c r="G32" s="37"/>
      <c r="H32" s="35"/>
      <c r="I32" s="37">
        <v>0.1</v>
      </c>
      <c r="J32" s="37">
        <v>120</v>
      </c>
      <c r="K32" s="36" t="s">
        <v>101</v>
      </c>
      <c r="L32" s="37">
        <v>0</v>
      </c>
      <c r="M32" s="35"/>
      <c r="N32" s="35"/>
      <c r="O32" s="36" t="s">
        <v>110</v>
      </c>
      <c r="P32" s="37" t="b">
        <v>0</v>
      </c>
      <c r="Q32" s="37">
        <v>7.4569899999999995E-2</v>
      </c>
      <c r="R32" s="37">
        <v>0</v>
      </c>
      <c r="S32" s="37" t="b">
        <v>0</v>
      </c>
      <c r="T32" s="35"/>
      <c r="U32" s="37">
        <v>0</v>
      </c>
      <c r="V32" s="35"/>
      <c r="W32" s="35"/>
      <c r="X32" s="35"/>
      <c r="Y32" s="35"/>
      <c r="Z32" s="38"/>
      <c r="AA32" s="36"/>
      <c r="AB32" s="39">
        <v>41481.472337962965</v>
      </c>
      <c r="AC32" s="40">
        <v>241</v>
      </c>
      <c r="AD32" s="36" t="s">
        <v>103</v>
      </c>
      <c r="AE32" s="35" t="s">
        <v>104</v>
      </c>
      <c r="AF32" s="35" t="s">
        <v>105</v>
      </c>
      <c r="AH32" s="34">
        <v>1</v>
      </c>
      <c r="AJ32" s="34">
        <f>Table_owssvr_1[[#This Row],[Total Connected Load (kW)]]</f>
        <v>7.4569899999999995E-2</v>
      </c>
      <c r="AK32" s="34">
        <f t="shared" si="0"/>
        <v>7.4569899999999995E-2</v>
      </c>
    </row>
    <row r="33" spans="1:38">
      <c r="A33" s="35"/>
      <c r="B33" s="35" t="s">
        <v>143</v>
      </c>
      <c r="C33" s="36" t="s">
        <v>121</v>
      </c>
      <c r="D33" s="35"/>
      <c r="E33" s="37" t="b">
        <v>1</v>
      </c>
      <c r="F33" s="37" t="b">
        <v>0</v>
      </c>
      <c r="G33" s="37"/>
      <c r="H33" s="35"/>
      <c r="I33" s="37">
        <v>0.1</v>
      </c>
      <c r="J33" s="37">
        <v>120</v>
      </c>
      <c r="K33" s="36" t="s">
        <v>101</v>
      </c>
      <c r="L33" s="37">
        <v>0</v>
      </c>
      <c r="M33" s="35"/>
      <c r="N33" s="35"/>
      <c r="O33" s="36" t="s">
        <v>110</v>
      </c>
      <c r="P33" s="37" t="b">
        <v>0</v>
      </c>
      <c r="Q33" s="37">
        <v>7.4569899999999995E-2</v>
      </c>
      <c r="R33" s="37">
        <v>0</v>
      </c>
      <c r="S33" s="37" t="b">
        <v>0</v>
      </c>
      <c r="T33" s="35"/>
      <c r="U33" s="37">
        <v>0</v>
      </c>
      <c r="V33" s="35"/>
      <c r="W33" s="35"/>
      <c r="X33" s="35"/>
      <c r="Y33" s="35"/>
      <c r="Z33" s="38"/>
      <c r="AA33" s="36"/>
      <c r="AB33" s="39">
        <v>41481.472337962965</v>
      </c>
      <c r="AC33" s="40">
        <v>242</v>
      </c>
      <c r="AD33" s="36" t="s">
        <v>103</v>
      </c>
      <c r="AE33" s="35" t="s">
        <v>104</v>
      </c>
      <c r="AF33" s="35" t="s">
        <v>105</v>
      </c>
      <c r="AH33" s="34">
        <v>1</v>
      </c>
      <c r="AJ33" s="34">
        <f>Table_owssvr_1[[#This Row],[Total Connected Load (kW)]]</f>
        <v>7.4569899999999995E-2</v>
      </c>
      <c r="AK33" s="34">
        <f t="shared" si="0"/>
        <v>7.4569899999999995E-2</v>
      </c>
    </row>
    <row r="34" spans="1:38">
      <c r="A34" s="35"/>
      <c r="B34" s="35" t="s">
        <v>144</v>
      </c>
      <c r="C34" s="36" t="s">
        <v>121</v>
      </c>
      <c r="D34" s="35" t="s">
        <v>145</v>
      </c>
      <c r="E34" s="37" t="b">
        <v>1</v>
      </c>
      <c r="F34" s="37" t="b">
        <v>0</v>
      </c>
      <c r="G34" s="37"/>
      <c r="H34" s="35"/>
      <c r="I34" s="37">
        <v>0</v>
      </c>
      <c r="J34" s="37">
        <v>480</v>
      </c>
      <c r="K34" s="36" t="s">
        <v>101</v>
      </c>
      <c r="L34" s="37">
        <v>0</v>
      </c>
      <c r="M34" s="35"/>
      <c r="N34" s="35"/>
      <c r="O34" s="36" t="s">
        <v>110</v>
      </c>
      <c r="P34" s="37" t="b">
        <v>0</v>
      </c>
      <c r="Q34" s="97">
        <v>15</v>
      </c>
      <c r="R34" s="37">
        <v>0</v>
      </c>
      <c r="S34" s="37" t="b">
        <v>0</v>
      </c>
      <c r="T34" s="35"/>
      <c r="U34" s="37">
        <v>0</v>
      </c>
      <c r="V34" s="35"/>
      <c r="W34" s="35"/>
      <c r="X34" s="35"/>
      <c r="Y34" s="35"/>
      <c r="Z34" s="38"/>
      <c r="AA34" s="36"/>
      <c r="AB34" s="39">
        <v>41484.427812499998</v>
      </c>
      <c r="AC34" s="40">
        <v>286</v>
      </c>
      <c r="AD34" s="36" t="s">
        <v>103</v>
      </c>
      <c r="AE34" s="35" t="s">
        <v>104</v>
      </c>
      <c r="AF34" s="35" t="s">
        <v>105</v>
      </c>
      <c r="AH34" s="34">
        <v>1</v>
      </c>
      <c r="AJ34" s="34">
        <f>Table_owssvr_1[[#This Row],[Total Connected Load (kW)]]</f>
        <v>15</v>
      </c>
      <c r="AK34" s="34">
        <v>0</v>
      </c>
      <c r="AL34" s="34" t="s">
        <v>629</v>
      </c>
    </row>
    <row r="35" spans="1:38" hidden="1">
      <c r="A35" s="35" t="s">
        <v>146</v>
      </c>
      <c r="B35" s="35" t="s">
        <v>147</v>
      </c>
      <c r="C35" s="36" t="s">
        <v>121</v>
      </c>
      <c r="D35" s="35"/>
      <c r="E35" s="37" t="b">
        <v>1</v>
      </c>
      <c r="F35" s="37" t="b">
        <v>0</v>
      </c>
      <c r="G35" s="37" t="b">
        <v>0</v>
      </c>
      <c r="H35" s="35"/>
      <c r="I35" s="37">
        <v>0</v>
      </c>
      <c r="J35" s="37"/>
      <c r="K35" s="36" t="s">
        <v>101</v>
      </c>
      <c r="L35" s="37">
        <v>0</v>
      </c>
      <c r="M35" s="35"/>
      <c r="N35" s="35"/>
      <c r="O35" s="36" t="s">
        <v>102</v>
      </c>
      <c r="P35" s="37" t="b">
        <v>0</v>
      </c>
      <c r="Q35" s="37">
        <v>0</v>
      </c>
      <c r="R35" s="37">
        <v>0</v>
      </c>
      <c r="S35" s="37" t="b">
        <v>0</v>
      </c>
      <c r="T35" s="35"/>
      <c r="U35" s="37">
        <v>0</v>
      </c>
      <c r="V35" s="35"/>
      <c r="W35" s="35"/>
      <c r="X35" s="35"/>
      <c r="Y35" s="35"/>
      <c r="Z35" s="38"/>
      <c r="AA35" s="36"/>
      <c r="AB35" s="39">
        <v>41493.679560185185</v>
      </c>
      <c r="AC35" s="40">
        <v>321</v>
      </c>
      <c r="AD35" s="36" t="s">
        <v>103</v>
      </c>
      <c r="AE35" s="35" t="s">
        <v>104</v>
      </c>
      <c r="AF35" s="35" t="s">
        <v>105</v>
      </c>
    </row>
    <row r="36" spans="1:38">
      <c r="A36" s="35" t="s">
        <v>148</v>
      </c>
      <c r="B36" s="35" t="s">
        <v>149</v>
      </c>
      <c r="C36" s="36" t="s">
        <v>121</v>
      </c>
      <c r="D36" s="35"/>
      <c r="E36" s="37" t="b">
        <v>1</v>
      </c>
      <c r="F36" s="37" t="b">
        <v>0</v>
      </c>
      <c r="G36" s="37" t="b">
        <v>0</v>
      </c>
      <c r="H36" s="35"/>
      <c r="I36" s="37">
        <v>0</v>
      </c>
      <c r="J36" s="37"/>
      <c r="K36" s="36" t="s">
        <v>101</v>
      </c>
      <c r="L36" s="37">
        <v>0</v>
      </c>
      <c r="M36" s="35"/>
      <c r="N36" s="35"/>
      <c r="O36" s="36" t="s">
        <v>102</v>
      </c>
      <c r="P36" s="37" t="b">
        <v>0</v>
      </c>
      <c r="Q36" s="37">
        <v>0</v>
      </c>
      <c r="R36" s="37">
        <v>0</v>
      </c>
      <c r="S36" s="37" t="b">
        <v>0</v>
      </c>
      <c r="T36" s="35"/>
      <c r="U36" s="37">
        <v>0</v>
      </c>
      <c r="V36" s="35"/>
      <c r="W36" s="35"/>
      <c r="X36" s="35"/>
      <c r="Y36" s="35"/>
      <c r="Z36" s="38"/>
      <c r="AA36" s="36"/>
      <c r="AB36" s="39">
        <v>41493.679930555554</v>
      </c>
      <c r="AC36" s="40">
        <v>322</v>
      </c>
      <c r="AD36" s="36" t="s">
        <v>103</v>
      </c>
      <c r="AE36" s="35" t="s">
        <v>104</v>
      </c>
      <c r="AF36" s="35" t="s">
        <v>105</v>
      </c>
      <c r="AJ36" s="34">
        <v>0.2</v>
      </c>
      <c r="AK36" s="34">
        <v>0.2</v>
      </c>
    </row>
    <row r="37" spans="1:38">
      <c r="A37" s="35" t="s">
        <v>150</v>
      </c>
      <c r="B37" s="35" t="s">
        <v>151</v>
      </c>
      <c r="C37" s="36" t="s">
        <v>121</v>
      </c>
      <c r="D37" s="35"/>
      <c r="E37" s="37" t="b">
        <v>1</v>
      </c>
      <c r="F37" s="37" t="b">
        <v>0</v>
      </c>
      <c r="G37" s="37" t="b">
        <v>0</v>
      </c>
      <c r="H37" s="35"/>
      <c r="I37" s="37">
        <v>0</v>
      </c>
      <c r="J37" s="37"/>
      <c r="K37" s="36" t="s">
        <v>101</v>
      </c>
      <c r="L37" s="37">
        <v>0</v>
      </c>
      <c r="M37" s="35"/>
      <c r="N37" s="35"/>
      <c r="O37" s="36" t="s">
        <v>102</v>
      </c>
      <c r="P37" s="37" t="b">
        <v>0</v>
      </c>
      <c r="Q37" s="37">
        <v>0</v>
      </c>
      <c r="R37" s="37">
        <v>0</v>
      </c>
      <c r="S37" s="37" t="b">
        <v>0</v>
      </c>
      <c r="T37" s="35"/>
      <c r="U37" s="37">
        <v>0</v>
      </c>
      <c r="V37" s="35"/>
      <c r="W37" s="35"/>
      <c r="X37" s="35"/>
      <c r="Y37" s="35"/>
      <c r="Z37" s="38"/>
      <c r="AA37" s="36"/>
      <c r="AB37" s="39">
        <v>41493.680162037039</v>
      </c>
      <c r="AC37" s="40">
        <v>323</v>
      </c>
      <c r="AD37" s="36" t="s">
        <v>103</v>
      </c>
      <c r="AE37" s="35" t="s">
        <v>104</v>
      </c>
      <c r="AF37" s="35" t="s">
        <v>105</v>
      </c>
      <c r="AJ37" s="34">
        <v>0</v>
      </c>
      <c r="AK37" s="34">
        <v>0</v>
      </c>
    </row>
    <row r="38" spans="1:38">
      <c r="A38" s="35" t="s">
        <v>152</v>
      </c>
      <c r="B38" s="35" t="s">
        <v>153</v>
      </c>
      <c r="C38" s="36" t="s">
        <v>154</v>
      </c>
      <c r="D38" s="35"/>
      <c r="E38" s="37" t="b">
        <v>1</v>
      </c>
      <c r="F38" s="37" t="b">
        <v>0</v>
      </c>
      <c r="G38" s="37"/>
      <c r="H38" s="35" t="s">
        <v>619</v>
      </c>
      <c r="I38" s="37">
        <v>150</v>
      </c>
      <c r="J38" s="37">
        <v>480</v>
      </c>
      <c r="K38" s="36" t="s">
        <v>138</v>
      </c>
      <c r="L38" s="37">
        <v>0</v>
      </c>
      <c r="M38" s="35"/>
      <c r="N38" s="35"/>
      <c r="O38" s="36" t="s">
        <v>102</v>
      </c>
      <c r="P38" s="37" t="b">
        <v>0</v>
      </c>
      <c r="Q38" s="37">
        <v>113</v>
      </c>
      <c r="R38" s="37">
        <v>0</v>
      </c>
      <c r="S38" s="37" t="b">
        <v>0</v>
      </c>
      <c r="T38" s="35"/>
      <c r="U38" s="37">
        <v>0</v>
      </c>
      <c r="V38" s="35"/>
      <c r="W38" s="35"/>
      <c r="X38" s="35"/>
      <c r="Y38" s="35"/>
      <c r="Z38" s="38"/>
      <c r="AA38" s="36"/>
      <c r="AB38" s="39">
        <v>41481.490231481483</v>
      </c>
      <c r="AC38" s="40">
        <v>1</v>
      </c>
      <c r="AD38" s="36" t="s">
        <v>103</v>
      </c>
      <c r="AE38" s="35" t="s">
        <v>104</v>
      </c>
      <c r="AF38" s="35" t="s">
        <v>105</v>
      </c>
      <c r="AJ38" s="61">
        <f>7540*52/2.3*0.000434/0.75/0.95</f>
        <v>103.83690007627766</v>
      </c>
      <c r="AK38" s="61">
        <f>AJ38</f>
        <v>103.83690007627766</v>
      </c>
    </row>
    <row r="39" spans="1:38">
      <c r="A39" s="35" t="s">
        <v>155</v>
      </c>
      <c r="B39" s="35" t="s">
        <v>156</v>
      </c>
      <c r="C39" s="36" t="s">
        <v>154</v>
      </c>
      <c r="D39" s="35"/>
      <c r="E39" s="37" t="b">
        <v>0</v>
      </c>
      <c r="F39" s="37" t="b">
        <v>1</v>
      </c>
      <c r="G39" s="37"/>
      <c r="H39" s="35" t="s">
        <v>619</v>
      </c>
      <c r="I39" s="37">
        <v>150</v>
      </c>
      <c r="J39" s="37">
        <v>480</v>
      </c>
      <c r="K39" s="36" t="s">
        <v>138</v>
      </c>
      <c r="L39" s="37">
        <v>0</v>
      </c>
      <c r="M39" s="35"/>
      <c r="N39" s="35"/>
      <c r="O39" s="36" t="s">
        <v>102</v>
      </c>
      <c r="P39" s="37" t="b">
        <v>0</v>
      </c>
      <c r="Q39" s="37">
        <v>113</v>
      </c>
      <c r="R39" s="37">
        <v>0</v>
      </c>
      <c r="S39" s="37" t="b">
        <v>0</v>
      </c>
      <c r="T39" s="35"/>
      <c r="U39" s="37">
        <v>0</v>
      </c>
      <c r="V39" s="35"/>
      <c r="W39" s="35"/>
      <c r="X39" s="35"/>
      <c r="Y39" s="35"/>
      <c r="Z39" s="38"/>
      <c r="AA39" s="36"/>
      <c r="AB39" s="39">
        <v>41481.490659722222</v>
      </c>
      <c r="AC39" s="40">
        <v>2</v>
      </c>
      <c r="AD39" s="36" t="s">
        <v>103</v>
      </c>
      <c r="AE39" s="35" t="s">
        <v>104</v>
      </c>
      <c r="AF39" s="35" t="s">
        <v>105</v>
      </c>
      <c r="AJ39" s="34">
        <v>0</v>
      </c>
      <c r="AK39" s="34">
        <v>0</v>
      </c>
      <c r="AL39" s="34" t="s">
        <v>557</v>
      </c>
    </row>
    <row r="40" spans="1:38">
      <c r="A40" s="35" t="s">
        <v>157</v>
      </c>
      <c r="B40" s="35" t="s">
        <v>158</v>
      </c>
      <c r="C40" s="36" t="s">
        <v>154</v>
      </c>
      <c r="D40" s="35"/>
      <c r="E40" s="37" t="b">
        <v>1</v>
      </c>
      <c r="F40" s="37" t="b">
        <v>0</v>
      </c>
      <c r="G40" s="37"/>
      <c r="H40" s="35" t="s">
        <v>618</v>
      </c>
      <c r="I40" s="37">
        <v>200</v>
      </c>
      <c r="J40" s="37">
        <v>480</v>
      </c>
      <c r="K40" s="36" t="s">
        <v>101</v>
      </c>
      <c r="L40" s="37">
        <v>0</v>
      </c>
      <c r="M40" s="35"/>
      <c r="N40" s="35"/>
      <c r="O40" s="36" t="s">
        <v>102</v>
      </c>
      <c r="P40" s="37" t="b">
        <v>0</v>
      </c>
      <c r="Q40" s="37">
        <v>298.27960000000002</v>
      </c>
      <c r="R40" s="37">
        <v>0</v>
      </c>
      <c r="S40" s="37" t="b">
        <v>0</v>
      </c>
      <c r="T40" s="35"/>
      <c r="U40" s="37">
        <v>0</v>
      </c>
      <c r="V40" s="35"/>
      <c r="W40" s="35"/>
      <c r="X40" s="35"/>
      <c r="Y40" s="35"/>
      <c r="Z40" s="38"/>
      <c r="AA40" s="36"/>
      <c r="AB40" s="39">
        <v>41481.472349537034</v>
      </c>
      <c r="AC40" s="40">
        <v>3</v>
      </c>
      <c r="AD40" s="36" t="s">
        <v>103</v>
      </c>
      <c r="AE40" s="35" t="s">
        <v>104</v>
      </c>
      <c r="AF40" s="35" t="s">
        <v>105</v>
      </c>
      <c r="AJ40" s="42"/>
      <c r="AK40" s="42"/>
      <c r="AL40" s="34" t="s">
        <v>545</v>
      </c>
    </row>
    <row r="41" spans="1:38">
      <c r="A41" s="35" t="s">
        <v>159</v>
      </c>
      <c r="B41" s="35" t="s">
        <v>160</v>
      </c>
      <c r="C41" s="36" t="s">
        <v>154</v>
      </c>
      <c r="D41" s="35"/>
      <c r="E41" s="37" t="b">
        <v>0</v>
      </c>
      <c r="F41" s="37" t="b">
        <v>1</v>
      </c>
      <c r="G41" s="37"/>
      <c r="H41" s="35" t="s">
        <v>618</v>
      </c>
      <c r="I41" s="37">
        <v>200</v>
      </c>
      <c r="J41" s="37">
        <v>480</v>
      </c>
      <c r="K41" s="36" t="s">
        <v>101</v>
      </c>
      <c r="L41" s="37">
        <v>0</v>
      </c>
      <c r="M41" s="35"/>
      <c r="N41" s="35"/>
      <c r="O41" s="36" t="s">
        <v>102</v>
      </c>
      <c r="P41" s="37" t="b">
        <v>0</v>
      </c>
      <c r="Q41" s="37">
        <v>298.27960000000002</v>
      </c>
      <c r="R41" s="37">
        <v>0</v>
      </c>
      <c r="S41" s="37" t="b">
        <v>0</v>
      </c>
      <c r="T41" s="35"/>
      <c r="U41" s="37">
        <v>0</v>
      </c>
      <c r="V41" s="35"/>
      <c r="W41" s="35"/>
      <c r="X41" s="35"/>
      <c r="Y41" s="35"/>
      <c r="Z41" s="38"/>
      <c r="AA41" s="36"/>
      <c r="AB41" s="39">
        <v>41481.472349537034</v>
      </c>
      <c r="AC41" s="40">
        <v>4</v>
      </c>
      <c r="AD41" s="36" t="s">
        <v>103</v>
      </c>
      <c r="AE41" s="35" t="s">
        <v>104</v>
      </c>
      <c r="AF41" s="35" t="s">
        <v>105</v>
      </c>
      <c r="AJ41" s="42"/>
      <c r="AK41" s="42"/>
      <c r="AL41" s="34" t="s">
        <v>545</v>
      </c>
    </row>
    <row r="42" spans="1:38">
      <c r="A42" s="35" t="s">
        <v>161</v>
      </c>
      <c r="B42" s="35" t="s">
        <v>162</v>
      </c>
      <c r="C42" s="36" t="s">
        <v>154</v>
      </c>
      <c r="D42" s="35"/>
      <c r="E42" s="37" t="b">
        <v>1</v>
      </c>
      <c r="F42" s="37" t="b">
        <v>0</v>
      </c>
      <c r="G42" s="37"/>
      <c r="H42" s="35" t="s">
        <v>617</v>
      </c>
      <c r="I42" s="37">
        <v>125</v>
      </c>
      <c r="J42" s="37">
        <v>480</v>
      </c>
      <c r="K42" s="36" t="s">
        <v>138</v>
      </c>
      <c r="L42" s="37">
        <v>0</v>
      </c>
      <c r="M42" s="35"/>
      <c r="N42" s="35"/>
      <c r="O42" s="36" t="s">
        <v>102</v>
      </c>
      <c r="P42" s="37" t="b">
        <v>0</v>
      </c>
      <c r="Q42" s="37">
        <v>186.42474999999999</v>
      </c>
      <c r="R42" s="37">
        <v>0</v>
      </c>
      <c r="S42" s="37" t="b">
        <v>0</v>
      </c>
      <c r="T42" s="35"/>
      <c r="U42" s="37">
        <v>0</v>
      </c>
      <c r="V42" s="35"/>
      <c r="W42" s="35"/>
      <c r="X42" s="35"/>
      <c r="Y42" s="35"/>
      <c r="Z42" s="38"/>
      <c r="AA42" s="36"/>
      <c r="AB42" s="39">
        <v>41481.472349537034</v>
      </c>
      <c r="AC42" s="40">
        <v>5</v>
      </c>
      <c r="AD42" s="36" t="s">
        <v>103</v>
      </c>
      <c r="AE42" s="35" t="s">
        <v>104</v>
      </c>
      <c r="AF42" s="35" t="s">
        <v>105</v>
      </c>
      <c r="AJ42" s="42"/>
      <c r="AK42" s="42"/>
      <c r="AL42" s="34" t="s">
        <v>545</v>
      </c>
    </row>
    <row r="43" spans="1:38" hidden="1">
      <c r="A43" s="35"/>
      <c r="B43" s="35" t="s">
        <v>163</v>
      </c>
      <c r="C43" s="36" t="s">
        <v>154</v>
      </c>
      <c r="D43" s="35"/>
      <c r="E43" s="37" t="b">
        <v>1</v>
      </c>
      <c r="F43" s="37" t="b">
        <v>0</v>
      </c>
      <c r="G43" s="37"/>
      <c r="H43" s="35" t="s">
        <v>617</v>
      </c>
      <c r="I43" s="37">
        <v>0</v>
      </c>
      <c r="J43" s="37"/>
      <c r="K43" s="36" t="s">
        <v>101</v>
      </c>
      <c r="L43" s="37">
        <v>0</v>
      </c>
      <c r="M43" s="35"/>
      <c r="N43" s="35"/>
      <c r="O43" s="36" t="s">
        <v>102</v>
      </c>
      <c r="P43" s="37" t="b">
        <v>0</v>
      </c>
      <c r="Q43" s="37">
        <v>0</v>
      </c>
      <c r="R43" s="37">
        <v>0</v>
      </c>
      <c r="S43" s="37" t="b">
        <v>0</v>
      </c>
      <c r="T43" s="35"/>
      <c r="U43" s="37">
        <v>0</v>
      </c>
      <c r="V43" s="35"/>
      <c r="W43" s="35"/>
      <c r="X43" s="35"/>
      <c r="Y43" s="35"/>
      <c r="Z43" s="38"/>
      <c r="AA43" s="36"/>
      <c r="AB43" s="39">
        <v>41481.472349537034</v>
      </c>
      <c r="AC43" s="40">
        <v>102</v>
      </c>
      <c r="AD43" s="36" t="s">
        <v>103</v>
      </c>
      <c r="AE43" s="35" t="s">
        <v>104</v>
      </c>
      <c r="AF43" s="35" t="s">
        <v>105</v>
      </c>
      <c r="AJ43" s="42"/>
      <c r="AK43" s="42"/>
      <c r="AL43" s="34" t="s">
        <v>545</v>
      </c>
    </row>
    <row r="44" spans="1:38" hidden="1">
      <c r="A44" s="35"/>
      <c r="B44" s="35" t="s">
        <v>164</v>
      </c>
      <c r="C44" s="36" t="s">
        <v>154</v>
      </c>
      <c r="D44" s="35"/>
      <c r="E44" s="37" t="b">
        <v>0</v>
      </c>
      <c r="F44" s="37" t="b">
        <v>1</v>
      </c>
      <c r="G44" s="37"/>
      <c r="H44" s="35" t="s">
        <v>617</v>
      </c>
      <c r="I44" s="37">
        <v>0</v>
      </c>
      <c r="J44" s="37"/>
      <c r="K44" s="36" t="s">
        <v>101</v>
      </c>
      <c r="L44" s="37">
        <v>0</v>
      </c>
      <c r="M44" s="35"/>
      <c r="N44" s="35"/>
      <c r="O44" s="36" t="s">
        <v>102</v>
      </c>
      <c r="P44" s="37" t="b">
        <v>0</v>
      </c>
      <c r="Q44" s="37">
        <v>0</v>
      </c>
      <c r="R44" s="37">
        <v>0</v>
      </c>
      <c r="S44" s="37" t="b">
        <v>0</v>
      </c>
      <c r="T44" s="35"/>
      <c r="U44" s="37">
        <v>0</v>
      </c>
      <c r="V44" s="35"/>
      <c r="W44" s="35"/>
      <c r="X44" s="35"/>
      <c r="Y44" s="35"/>
      <c r="Z44" s="38"/>
      <c r="AA44" s="36"/>
      <c r="AB44" s="39">
        <v>41481.472361111111</v>
      </c>
      <c r="AC44" s="40">
        <v>122</v>
      </c>
      <c r="AD44" s="36" t="s">
        <v>103</v>
      </c>
      <c r="AE44" s="35" t="s">
        <v>104</v>
      </c>
      <c r="AF44" s="35" t="s">
        <v>105</v>
      </c>
      <c r="AJ44" s="42"/>
      <c r="AK44" s="42"/>
      <c r="AL44" s="34" t="s">
        <v>545</v>
      </c>
    </row>
    <row r="45" spans="1:38">
      <c r="A45" s="35" t="s">
        <v>165</v>
      </c>
      <c r="B45" s="35" t="s">
        <v>166</v>
      </c>
      <c r="C45" s="36" t="s">
        <v>154</v>
      </c>
      <c r="D45" s="35"/>
      <c r="E45" s="37" t="b">
        <v>1</v>
      </c>
      <c r="F45" s="37" t="b">
        <v>0</v>
      </c>
      <c r="G45" s="37"/>
      <c r="H45" s="35" t="s">
        <v>617</v>
      </c>
      <c r="I45" s="37">
        <v>125</v>
      </c>
      <c r="J45" s="37">
        <v>480</v>
      </c>
      <c r="K45" s="36" t="s">
        <v>138</v>
      </c>
      <c r="L45" s="37">
        <v>0</v>
      </c>
      <c r="M45" s="35"/>
      <c r="N45" s="35"/>
      <c r="O45" s="36" t="s">
        <v>102</v>
      </c>
      <c r="P45" s="37" t="b">
        <v>0</v>
      </c>
      <c r="Q45" s="37">
        <v>186.42474999999999</v>
      </c>
      <c r="R45" s="37">
        <v>0</v>
      </c>
      <c r="S45" s="37" t="b">
        <v>0</v>
      </c>
      <c r="T45" s="35"/>
      <c r="U45" s="37">
        <v>0</v>
      </c>
      <c r="V45" s="35"/>
      <c r="W45" s="35"/>
      <c r="X45" s="35"/>
      <c r="Y45" s="35"/>
      <c r="Z45" s="38"/>
      <c r="AA45" s="36"/>
      <c r="AB45" s="39">
        <v>41492.690312500003</v>
      </c>
      <c r="AC45" s="40">
        <v>171</v>
      </c>
      <c r="AD45" s="36" t="s">
        <v>103</v>
      </c>
      <c r="AE45" s="35" t="s">
        <v>104</v>
      </c>
      <c r="AF45" s="35" t="s">
        <v>105</v>
      </c>
      <c r="AJ45" s="42"/>
      <c r="AK45" s="42"/>
      <c r="AL45" s="34" t="s">
        <v>545</v>
      </c>
    </row>
    <row r="46" spans="1:38">
      <c r="A46" s="35" t="s">
        <v>167</v>
      </c>
      <c r="B46" s="35" t="s">
        <v>168</v>
      </c>
      <c r="C46" s="36" t="s">
        <v>154</v>
      </c>
      <c r="D46" s="35"/>
      <c r="E46" s="37" t="b">
        <v>1</v>
      </c>
      <c r="F46" s="37" t="b">
        <v>0</v>
      </c>
      <c r="G46" s="37" t="b">
        <v>1</v>
      </c>
      <c r="H46" s="35"/>
      <c r="I46" s="37">
        <v>400</v>
      </c>
      <c r="J46" s="37">
        <v>480</v>
      </c>
      <c r="K46" s="36" t="s">
        <v>101</v>
      </c>
      <c r="L46" s="37">
        <v>0</v>
      </c>
      <c r="M46" s="35"/>
      <c r="N46" s="35"/>
      <c r="O46" s="36" t="s">
        <v>102</v>
      </c>
      <c r="P46" s="37" t="b">
        <v>0</v>
      </c>
      <c r="Q46" s="37">
        <v>298.27960000000002</v>
      </c>
      <c r="R46" s="37">
        <v>0</v>
      </c>
      <c r="S46" s="37" t="b">
        <v>0</v>
      </c>
      <c r="T46" s="35"/>
      <c r="U46" s="37">
        <v>0</v>
      </c>
      <c r="V46" s="35"/>
      <c r="W46" s="35"/>
      <c r="X46" s="35"/>
      <c r="Y46" s="35"/>
      <c r="Z46" s="38"/>
      <c r="AA46" s="36"/>
      <c r="AB46" s="39">
        <v>41492.707037037035</v>
      </c>
      <c r="AC46" s="40">
        <v>304</v>
      </c>
      <c r="AD46" s="36" t="s">
        <v>103</v>
      </c>
      <c r="AE46" s="35" t="s">
        <v>104</v>
      </c>
      <c r="AF46" s="35" t="s">
        <v>105</v>
      </c>
      <c r="AJ46" s="42"/>
      <c r="AK46" s="42"/>
      <c r="AL46" s="34" t="s">
        <v>545</v>
      </c>
    </row>
    <row r="47" spans="1:38">
      <c r="A47" s="35" t="s">
        <v>169</v>
      </c>
      <c r="B47" s="35" t="s">
        <v>170</v>
      </c>
      <c r="C47" s="36" t="s">
        <v>171</v>
      </c>
      <c r="D47" s="35" t="s">
        <v>172</v>
      </c>
      <c r="E47" s="37" t="b">
        <v>1</v>
      </c>
      <c r="F47" s="37" t="b">
        <v>0</v>
      </c>
      <c r="G47" s="37"/>
      <c r="H47" s="35" t="s">
        <v>173</v>
      </c>
      <c r="I47" s="37">
        <v>35</v>
      </c>
      <c r="J47" s="37">
        <v>480</v>
      </c>
      <c r="K47" s="36" t="s">
        <v>138</v>
      </c>
      <c r="L47" s="37">
        <v>0</v>
      </c>
      <c r="M47" s="35" t="s">
        <v>173</v>
      </c>
      <c r="N47" s="35" t="s">
        <v>174</v>
      </c>
      <c r="O47" s="36" t="s">
        <v>102</v>
      </c>
      <c r="P47" s="37" t="b">
        <v>0</v>
      </c>
      <c r="Q47" s="37">
        <v>26.099464999999999</v>
      </c>
      <c r="R47" s="37">
        <v>0</v>
      </c>
      <c r="S47" s="37" t="b">
        <v>0</v>
      </c>
      <c r="T47" s="35"/>
      <c r="U47" s="37">
        <v>0</v>
      </c>
      <c r="V47" s="35" t="s">
        <v>175</v>
      </c>
      <c r="W47" s="35" t="s">
        <v>176</v>
      </c>
      <c r="X47" s="35" t="s">
        <v>177</v>
      </c>
      <c r="Y47" s="35" t="s">
        <v>178</v>
      </c>
      <c r="Z47" s="38"/>
      <c r="AA47" s="36"/>
      <c r="AB47" s="39">
        <v>41493.657812500001</v>
      </c>
      <c r="AC47" s="40">
        <v>34</v>
      </c>
      <c r="AD47" s="36" t="s">
        <v>103</v>
      </c>
      <c r="AE47" s="35" t="s">
        <v>104</v>
      </c>
      <c r="AF47" s="35" t="s">
        <v>105</v>
      </c>
      <c r="AJ47" s="34">
        <f>800*87/2.3*0.000434/0.75/0.95</f>
        <v>18.432585812356979</v>
      </c>
      <c r="AK47" s="34">
        <f>AJ47</f>
        <v>18.432585812356979</v>
      </c>
    </row>
    <row r="48" spans="1:38">
      <c r="A48" s="35" t="s">
        <v>179</v>
      </c>
      <c r="B48" s="35" t="s">
        <v>180</v>
      </c>
      <c r="C48" s="36" t="s">
        <v>171</v>
      </c>
      <c r="D48" s="35" t="s">
        <v>172</v>
      </c>
      <c r="E48" s="37" t="b">
        <v>1</v>
      </c>
      <c r="F48" s="37" t="b">
        <v>0</v>
      </c>
      <c r="G48" s="37"/>
      <c r="H48" s="35" t="s">
        <v>173</v>
      </c>
      <c r="I48" s="37">
        <v>35</v>
      </c>
      <c r="J48" s="37">
        <v>480</v>
      </c>
      <c r="K48" s="36" t="s">
        <v>138</v>
      </c>
      <c r="L48" s="37">
        <v>0</v>
      </c>
      <c r="M48" s="35" t="s">
        <v>173</v>
      </c>
      <c r="N48" s="35" t="s">
        <v>174</v>
      </c>
      <c r="O48" s="36" t="s">
        <v>102</v>
      </c>
      <c r="P48" s="37" t="b">
        <v>0</v>
      </c>
      <c r="Q48" s="37">
        <v>26.099464999999999</v>
      </c>
      <c r="R48" s="37">
        <v>0</v>
      </c>
      <c r="S48" s="37" t="b">
        <v>0</v>
      </c>
      <c r="T48" s="35"/>
      <c r="U48" s="37">
        <v>0</v>
      </c>
      <c r="V48" s="35" t="s">
        <v>175</v>
      </c>
      <c r="W48" s="35" t="s">
        <v>176</v>
      </c>
      <c r="X48" s="35" t="s">
        <v>177</v>
      </c>
      <c r="Y48" s="35" t="s">
        <v>178</v>
      </c>
      <c r="Z48" s="38"/>
      <c r="AA48" s="36"/>
      <c r="AB48" s="39">
        <v>41493.661851851852</v>
      </c>
      <c r="AC48" s="40">
        <v>35</v>
      </c>
      <c r="AD48" s="36" t="s">
        <v>103</v>
      </c>
      <c r="AE48" s="35" t="s">
        <v>104</v>
      </c>
      <c r="AF48" s="35" t="s">
        <v>105</v>
      </c>
      <c r="AJ48" s="34">
        <f>800*87/2.3*0.000434/0.75/0.95</f>
        <v>18.432585812356979</v>
      </c>
      <c r="AK48" s="34">
        <f>AJ48</f>
        <v>18.432585812356979</v>
      </c>
    </row>
    <row r="49" spans="1:38">
      <c r="A49" s="35" t="s">
        <v>181</v>
      </c>
      <c r="B49" s="35" t="s">
        <v>182</v>
      </c>
      <c r="C49" s="36" t="s">
        <v>171</v>
      </c>
      <c r="D49" s="35" t="s">
        <v>172</v>
      </c>
      <c r="E49" s="37" t="b">
        <v>0</v>
      </c>
      <c r="F49" s="37" t="b">
        <v>1</v>
      </c>
      <c r="G49" s="37"/>
      <c r="H49" s="35" t="s">
        <v>173</v>
      </c>
      <c r="I49" s="37">
        <v>35</v>
      </c>
      <c r="J49" s="37">
        <v>480</v>
      </c>
      <c r="K49" s="36" t="s">
        <v>138</v>
      </c>
      <c r="L49" s="37">
        <v>0</v>
      </c>
      <c r="M49" s="35" t="s">
        <v>173</v>
      </c>
      <c r="N49" s="35" t="s">
        <v>174</v>
      </c>
      <c r="O49" s="36" t="s">
        <v>102</v>
      </c>
      <c r="P49" s="37" t="b">
        <v>0</v>
      </c>
      <c r="Q49" s="37">
        <v>26.099464999999999</v>
      </c>
      <c r="R49" s="37">
        <v>0</v>
      </c>
      <c r="S49" s="37" t="b">
        <v>0</v>
      </c>
      <c r="T49" s="35"/>
      <c r="U49" s="37">
        <v>0</v>
      </c>
      <c r="V49" s="35" t="s">
        <v>175</v>
      </c>
      <c r="W49" s="35" t="s">
        <v>176</v>
      </c>
      <c r="X49" s="35" t="s">
        <v>177</v>
      </c>
      <c r="Y49" s="35" t="s">
        <v>178</v>
      </c>
      <c r="Z49" s="38"/>
      <c r="AA49" s="36"/>
      <c r="AB49" s="39">
        <v>41493.695706018516</v>
      </c>
      <c r="AC49" s="40">
        <v>284</v>
      </c>
      <c r="AD49" s="36" t="s">
        <v>103</v>
      </c>
      <c r="AE49" s="35" t="s">
        <v>104</v>
      </c>
      <c r="AF49" s="35" t="s">
        <v>105</v>
      </c>
      <c r="AJ49" s="34">
        <v>0</v>
      </c>
      <c r="AK49" s="34">
        <v>0</v>
      </c>
      <c r="AL49" s="34" t="s">
        <v>557</v>
      </c>
    </row>
    <row r="50" spans="1:38">
      <c r="A50" s="35" t="s">
        <v>184</v>
      </c>
      <c r="B50" s="35" t="s">
        <v>185</v>
      </c>
      <c r="C50" s="36" t="s">
        <v>183</v>
      </c>
      <c r="D50" s="35"/>
      <c r="E50" s="37" t="b">
        <v>1</v>
      </c>
      <c r="F50" s="37" t="b">
        <v>0</v>
      </c>
      <c r="G50" s="37"/>
      <c r="H50" s="35"/>
      <c r="I50" s="37">
        <v>1000</v>
      </c>
      <c r="J50" s="37">
        <v>4160</v>
      </c>
      <c r="K50" s="36" t="s">
        <v>138</v>
      </c>
      <c r="L50" s="37">
        <v>0</v>
      </c>
      <c r="M50" s="35"/>
      <c r="N50" s="35"/>
      <c r="O50" s="36" t="s">
        <v>102</v>
      </c>
      <c r="P50" s="37" t="b">
        <v>0</v>
      </c>
      <c r="Q50" s="37">
        <v>932.12374999999997</v>
      </c>
      <c r="R50" s="37">
        <v>0</v>
      </c>
      <c r="S50" s="37" t="b">
        <v>0</v>
      </c>
      <c r="T50" s="35"/>
      <c r="U50" s="37">
        <v>0</v>
      </c>
      <c r="V50" s="35"/>
      <c r="W50" s="35"/>
      <c r="X50" s="35"/>
      <c r="Y50" s="35"/>
      <c r="Z50" s="38"/>
      <c r="AA50" s="36"/>
      <c r="AB50" s="39">
        <v>41493.686608796299</v>
      </c>
      <c r="AC50" s="40">
        <v>7</v>
      </c>
      <c r="AD50" s="36" t="s">
        <v>103</v>
      </c>
      <c r="AE50" s="35" t="s">
        <v>104</v>
      </c>
      <c r="AF50" s="35" t="s">
        <v>105</v>
      </c>
      <c r="AJ50" s="42"/>
      <c r="AK50" s="42"/>
      <c r="AL50" s="34" t="s">
        <v>545</v>
      </c>
    </row>
    <row r="51" spans="1:38">
      <c r="A51" s="35" t="s">
        <v>186</v>
      </c>
      <c r="B51" s="35" t="s">
        <v>187</v>
      </c>
      <c r="C51" s="36" t="s">
        <v>183</v>
      </c>
      <c r="D51" s="35"/>
      <c r="E51" s="37" t="b">
        <v>1</v>
      </c>
      <c r="F51" s="37" t="b">
        <v>0</v>
      </c>
      <c r="G51" s="37"/>
      <c r="H51" s="35"/>
      <c r="I51" s="37">
        <v>1000</v>
      </c>
      <c r="J51" s="37">
        <v>4160</v>
      </c>
      <c r="K51" s="36" t="s">
        <v>138</v>
      </c>
      <c r="L51" s="37">
        <v>0</v>
      </c>
      <c r="M51" s="35"/>
      <c r="N51" s="35"/>
      <c r="O51" s="36" t="s">
        <v>102</v>
      </c>
      <c r="P51" s="37" t="b">
        <v>0</v>
      </c>
      <c r="Q51" s="37">
        <v>932.12374999999997</v>
      </c>
      <c r="R51" s="37">
        <v>0</v>
      </c>
      <c r="S51" s="37" t="b">
        <v>0</v>
      </c>
      <c r="T51" s="35"/>
      <c r="U51" s="37">
        <v>0</v>
      </c>
      <c r="V51" s="35"/>
      <c r="W51" s="35"/>
      <c r="X51" s="35"/>
      <c r="Y51" s="35"/>
      <c r="Z51" s="38"/>
      <c r="AA51" s="36"/>
      <c r="AB51" s="39">
        <v>41493.686747685184</v>
      </c>
      <c r="AC51" s="40">
        <v>8</v>
      </c>
      <c r="AD51" s="36" t="s">
        <v>103</v>
      </c>
      <c r="AE51" s="35" t="s">
        <v>104</v>
      </c>
      <c r="AF51" s="35" t="s">
        <v>105</v>
      </c>
      <c r="AJ51" s="42"/>
      <c r="AK51" s="42"/>
      <c r="AL51" s="34" t="s">
        <v>545</v>
      </c>
    </row>
    <row r="52" spans="1:38">
      <c r="A52" s="35" t="s">
        <v>188</v>
      </c>
      <c r="B52" s="35" t="s">
        <v>189</v>
      </c>
      <c r="C52" s="36" t="s">
        <v>183</v>
      </c>
      <c r="D52" s="35"/>
      <c r="E52" s="37" t="b">
        <v>1</v>
      </c>
      <c r="F52" s="37" t="b">
        <v>0</v>
      </c>
      <c r="G52" s="37"/>
      <c r="H52" s="35"/>
      <c r="I52" s="37">
        <v>1000</v>
      </c>
      <c r="J52" s="37">
        <v>4160</v>
      </c>
      <c r="K52" s="36" t="s">
        <v>138</v>
      </c>
      <c r="L52" s="37">
        <v>0</v>
      </c>
      <c r="M52" s="35"/>
      <c r="N52" s="35"/>
      <c r="O52" s="36" t="s">
        <v>102</v>
      </c>
      <c r="P52" s="37" t="b">
        <v>0</v>
      </c>
      <c r="Q52" s="37">
        <v>932.12374999999997</v>
      </c>
      <c r="R52" s="37">
        <v>0</v>
      </c>
      <c r="S52" s="37" t="b">
        <v>0</v>
      </c>
      <c r="T52" s="35"/>
      <c r="U52" s="37">
        <v>0</v>
      </c>
      <c r="V52" s="35"/>
      <c r="W52" s="35"/>
      <c r="X52" s="35"/>
      <c r="Y52" s="35"/>
      <c r="Z52" s="38"/>
      <c r="AA52" s="36"/>
      <c r="AB52" s="39">
        <v>41493.687349537038</v>
      </c>
      <c r="AC52" s="40">
        <v>9</v>
      </c>
      <c r="AD52" s="36" t="s">
        <v>103</v>
      </c>
      <c r="AE52" s="35" t="s">
        <v>104</v>
      </c>
      <c r="AF52" s="35" t="s">
        <v>105</v>
      </c>
      <c r="AJ52" s="42"/>
      <c r="AK52" s="42"/>
      <c r="AL52" s="34" t="s">
        <v>545</v>
      </c>
    </row>
    <row r="53" spans="1:38">
      <c r="A53" s="35" t="s">
        <v>190</v>
      </c>
      <c r="B53" s="35" t="s">
        <v>191</v>
      </c>
      <c r="C53" s="36" t="s">
        <v>183</v>
      </c>
      <c r="D53" s="35"/>
      <c r="E53" s="37" t="b">
        <v>1</v>
      </c>
      <c r="F53" s="37" t="b">
        <v>0</v>
      </c>
      <c r="G53" s="37"/>
      <c r="H53" s="35"/>
      <c r="I53" s="37">
        <v>1000</v>
      </c>
      <c r="J53" s="37">
        <v>4160</v>
      </c>
      <c r="K53" s="36" t="s">
        <v>138</v>
      </c>
      <c r="L53" s="37">
        <v>0</v>
      </c>
      <c r="M53" s="35"/>
      <c r="N53" s="35"/>
      <c r="O53" s="36" t="s">
        <v>102</v>
      </c>
      <c r="P53" s="37" t="b">
        <v>0</v>
      </c>
      <c r="Q53" s="37">
        <v>932.12374999999997</v>
      </c>
      <c r="R53" s="37">
        <v>0</v>
      </c>
      <c r="S53" s="37" t="b">
        <v>0</v>
      </c>
      <c r="T53" s="35"/>
      <c r="U53" s="37"/>
      <c r="V53" s="35"/>
      <c r="W53" s="35"/>
      <c r="X53" s="35"/>
      <c r="Y53" s="35"/>
      <c r="Z53" s="38"/>
      <c r="AA53" s="36"/>
      <c r="AB53" s="39">
        <v>41493.6872337963</v>
      </c>
      <c r="AC53" s="40">
        <v>10</v>
      </c>
      <c r="AD53" s="36" t="s">
        <v>103</v>
      </c>
      <c r="AE53" s="35" t="s">
        <v>104</v>
      </c>
      <c r="AF53" s="35" t="s">
        <v>105</v>
      </c>
      <c r="AJ53" s="42"/>
      <c r="AK53" s="42"/>
      <c r="AL53" s="34" t="s">
        <v>545</v>
      </c>
    </row>
    <row r="54" spans="1:38">
      <c r="A54" s="35" t="s">
        <v>192</v>
      </c>
      <c r="B54" s="35" t="s">
        <v>193</v>
      </c>
      <c r="C54" s="36" t="s">
        <v>183</v>
      </c>
      <c r="D54" s="35"/>
      <c r="E54" s="37" t="b">
        <v>1</v>
      </c>
      <c r="F54" s="37" t="b">
        <v>0</v>
      </c>
      <c r="G54" s="37"/>
      <c r="H54" s="35"/>
      <c r="I54" s="37">
        <v>1000</v>
      </c>
      <c r="J54" s="37">
        <v>4160</v>
      </c>
      <c r="K54" s="36" t="s">
        <v>138</v>
      </c>
      <c r="L54" s="37">
        <v>0</v>
      </c>
      <c r="M54" s="35"/>
      <c r="N54" s="35"/>
      <c r="O54" s="36" t="s">
        <v>102</v>
      </c>
      <c r="P54" s="37" t="b">
        <v>0</v>
      </c>
      <c r="Q54" s="37">
        <v>932.12374999999997</v>
      </c>
      <c r="R54" s="37">
        <v>0</v>
      </c>
      <c r="S54" s="37" t="b">
        <v>0</v>
      </c>
      <c r="T54" s="35"/>
      <c r="U54" s="37">
        <v>0</v>
      </c>
      <c r="V54" s="35"/>
      <c r="W54" s="35"/>
      <c r="X54" s="35"/>
      <c r="Y54" s="35"/>
      <c r="Z54" s="38"/>
      <c r="AA54" s="36"/>
      <c r="AB54" s="39">
        <v>41493.6872337963</v>
      </c>
      <c r="AC54" s="40">
        <v>11</v>
      </c>
      <c r="AD54" s="36" t="s">
        <v>103</v>
      </c>
      <c r="AE54" s="35" t="s">
        <v>104</v>
      </c>
      <c r="AF54" s="35" t="s">
        <v>105</v>
      </c>
      <c r="AJ54" s="42"/>
      <c r="AK54" s="42"/>
      <c r="AL54" s="34" t="s">
        <v>545</v>
      </c>
    </row>
    <row r="55" spans="1:38">
      <c r="A55" s="35" t="s">
        <v>194</v>
      </c>
      <c r="B55" s="35" t="s">
        <v>195</v>
      </c>
      <c r="C55" s="36" t="s">
        <v>183</v>
      </c>
      <c r="D55" s="35"/>
      <c r="E55" s="37" t="b">
        <v>1</v>
      </c>
      <c r="F55" s="37" t="b">
        <v>0</v>
      </c>
      <c r="G55" s="37"/>
      <c r="H55" s="35"/>
      <c r="I55" s="37">
        <v>1000</v>
      </c>
      <c r="J55" s="37">
        <v>4160</v>
      </c>
      <c r="K55" s="36" t="s">
        <v>138</v>
      </c>
      <c r="L55" s="37">
        <v>0</v>
      </c>
      <c r="M55" s="35"/>
      <c r="N55" s="35"/>
      <c r="O55" s="36" t="s">
        <v>102</v>
      </c>
      <c r="P55" s="37" t="b">
        <v>0</v>
      </c>
      <c r="Q55" s="37">
        <v>932.12374999999997</v>
      </c>
      <c r="R55" s="37">
        <v>0</v>
      </c>
      <c r="S55" s="37" t="b">
        <v>0</v>
      </c>
      <c r="T55" s="35"/>
      <c r="U55" s="37">
        <v>0</v>
      </c>
      <c r="V55" s="35"/>
      <c r="W55" s="35"/>
      <c r="X55" s="35"/>
      <c r="Y55" s="35"/>
      <c r="Z55" s="38"/>
      <c r="AA55" s="36"/>
      <c r="AB55" s="39">
        <v>41493.6872337963</v>
      </c>
      <c r="AC55" s="40">
        <v>12</v>
      </c>
      <c r="AD55" s="36" t="s">
        <v>103</v>
      </c>
      <c r="AE55" s="35" t="s">
        <v>104</v>
      </c>
      <c r="AF55" s="35" t="s">
        <v>105</v>
      </c>
      <c r="AJ55" s="42"/>
      <c r="AK55" s="42"/>
      <c r="AL55" s="34" t="s">
        <v>545</v>
      </c>
    </row>
    <row r="56" spans="1:38">
      <c r="A56" s="35" t="s">
        <v>196</v>
      </c>
      <c r="B56" s="35" t="s">
        <v>197</v>
      </c>
      <c r="C56" s="36" t="s">
        <v>183</v>
      </c>
      <c r="D56" s="35"/>
      <c r="E56" s="37" t="b">
        <v>0</v>
      </c>
      <c r="F56" s="37" t="b">
        <v>1</v>
      </c>
      <c r="G56" s="37"/>
      <c r="H56" s="35"/>
      <c r="I56" s="37">
        <v>1000</v>
      </c>
      <c r="J56" s="37">
        <v>4160</v>
      </c>
      <c r="K56" s="36" t="s">
        <v>138</v>
      </c>
      <c r="L56" s="37">
        <v>0</v>
      </c>
      <c r="M56" s="35"/>
      <c r="N56" s="35"/>
      <c r="O56" s="36" t="s">
        <v>102</v>
      </c>
      <c r="P56" s="37" t="b">
        <v>0</v>
      </c>
      <c r="Q56" s="37">
        <v>932.12374999999997</v>
      </c>
      <c r="R56" s="37">
        <v>0</v>
      </c>
      <c r="S56" s="37" t="b">
        <v>0</v>
      </c>
      <c r="T56" s="35"/>
      <c r="U56" s="37">
        <v>0</v>
      </c>
      <c r="V56" s="35"/>
      <c r="W56" s="35"/>
      <c r="X56" s="35"/>
      <c r="Y56" s="35"/>
      <c r="Z56" s="38"/>
      <c r="AA56" s="36"/>
      <c r="AB56" s="39">
        <v>41493.686921296299</v>
      </c>
      <c r="AC56" s="40">
        <v>13</v>
      </c>
      <c r="AD56" s="36" t="s">
        <v>103</v>
      </c>
      <c r="AE56" s="35" t="s">
        <v>104</v>
      </c>
      <c r="AF56" s="35" t="s">
        <v>105</v>
      </c>
      <c r="AJ56" s="42"/>
      <c r="AK56" s="42"/>
      <c r="AL56" s="34" t="s">
        <v>545</v>
      </c>
    </row>
    <row r="57" spans="1:38">
      <c r="A57" s="35" t="s">
        <v>198</v>
      </c>
      <c r="B57" s="35" t="s">
        <v>199</v>
      </c>
      <c r="C57" s="36" t="s">
        <v>183</v>
      </c>
      <c r="D57" s="35"/>
      <c r="E57" s="37" t="b">
        <v>1</v>
      </c>
      <c r="F57" s="37" t="b">
        <v>0</v>
      </c>
      <c r="G57" s="37"/>
      <c r="H57" s="35"/>
      <c r="I57" s="37">
        <v>75</v>
      </c>
      <c r="J57" s="37">
        <v>480</v>
      </c>
      <c r="K57" s="36" t="s">
        <v>138</v>
      </c>
      <c r="L57" s="37">
        <v>0</v>
      </c>
      <c r="M57" s="35"/>
      <c r="N57" s="35"/>
      <c r="O57" s="36" t="s">
        <v>102</v>
      </c>
      <c r="P57" s="37" t="b">
        <v>0</v>
      </c>
      <c r="Q57" s="37">
        <f>75*0.75</f>
        <v>56.25</v>
      </c>
      <c r="R57" s="37">
        <v>0</v>
      </c>
      <c r="S57" s="37" t="b">
        <v>0</v>
      </c>
      <c r="T57" s="35"/>
      <c r="U57" s="37">
        <v>0</v>
      </c>
      <c r="V57" s="35"/>
      <c r="W57" s="35"/>
      <c r="X57" s="35"/>
      <c r="Y57" s="35"/>
      <c r="Z57" s="38"/>
      <c r="AA57" s="36"/>
      <c r="AB57" s="39">
        <v>41493.688831018517</v>
      </c>
      <c r="AC57" s="40">
        <v>14</v>
      </c>
      <c r="AD57" s="36" t="s">
        <v>103</v>
      </c>
      <c r="AE57" s="35" t="s">
        <v>104</v>
      </c>
      <c r="AF57" s="35" t="s">
        <v>105</v>
      </c>
      <c r="AJ57" s="42"/>
      <c r="AK57" s="42"/>
      <c r="AL57" s="34" t="s">
        <v>545</v>
      </c>
    </row>
    <row r="58" spans="1:38">
      <c r="A58" s="35" t="s">
        <v>200</v>
      </c>
      <c r="B58" s="35" t="s">
        <v>201</v>
      </c>
      <c r="C58" s="36" t="s">
        <v>183</v>
      </c>
      <c r="D58" s="35"/>
      <c r="E58" s="37" t="b">
        <v>1</v>
      </c>
      <c r="F58" s="37" t="b">
        <v>0</v>
      </c>
      <c r="G58" s="37"/>
      <c r="H58" s="35"/>
      <c r="I58" s="37">
        <v>75</v>
      </c>
      <c r="J58" s="37">
        <v>480</v>
      </c>
      <c r="K58" s="36" t="s">
        <v>138</v>
      </c>
      <c r="L58" s="37">
        <v>0</v>
      </c>
      <c r="M58" s="35"/>
      <c r="N58" s="35"/>
      <c r="O58" s="36" t="s">
        <v>102</v>
      </c>
      <c r="P58" s="37" t="b">
        <v>0</v>
      </c>
      <c r="Q58" s="37">
        <f t="shared" ref="Q58:Q63" si="1">75*0.75</f>
        <v>56.25</v>
      </c>
      <c r="R58" s="37">
        <v>0</v>
      </c>
      <c r="S58" s="37" t="b">
        <v>0</v>
      </c>
      <c r="T58" s="35"/>
      <c r="U58" s="37">
        <v>0</v>
      </c>
      <c r="V58" s="35"/>
      <c r="W58" s="35"/>
      <c r="X58" s="35"/>
      <c r="Y58" s="35"/>
      <c r="Z58" s="38"/>
      <c r="AA58" s="36"/>
      <c r="AB58" s="39">
        <v>41493.688923611109</v>
      </c>
      <c r="AC58" s="40">
        <v>15</v>
      </c>
      <c r="AD58" s="36" t="s">
        <v>103</v>
      </c>
      <c r="AE58" s="35" t="s">
        <v>104</v>
      </c>
      <c r="AF58" s="35" t="s">
        <v>105</v>
      </c>
      <c r="AJ58" s="42"/>
      <c r="AK58" s="42"/>
      <c r="AL58" s="34" t="s">
        <v>545</v>
      </c>
    </row>
    <row r="59" spans="1:38">
      <c r="A59" s="35" t="s">
        <v>202</v>
      </c>
      <c r="B59" s="35" t="s">
        <v>203</v>
      </c>
      <c r="C59" s="36" t="s">
        <v>183</v>
      </c>
      <c r="D59" s="35"/>
      <c r="E59" s="37" t="b">
        <v>1</v>
      </c>
      <c r="F59" s="37" t="b">
        <v>0</v>
      </c>
      <c r="G59" s="37"/>
      <c r="H59" s="35"/>
      <c r="I59" s="37">
        <v>75</v>
      </c>
      <c r="J59" s="37">
        <v>480</v>
      </c>
      <c r="K59" s="36" t="s">
        <v>138</v>
      </c>
      <c r="L59" s="37">
        <v>0</v>
      </c>
      <c r="M59" s="35"/>
      <c r="N59" s="35"/>
      <c r="O59" s="36" t="s">
        <v>102</v>
      </c>
      <c r="P59" s="37" t="b">
        <v>0</v>
      </c>
      <c r="Q59" s="37">
        <f t="shared" si="1"/>
        <v>56.25</v>
      </c>
      <c r="R59" s="37">
        <v>0</v>
      </c>
      <c r="S59" s="37" t="b">
        <v>0</v>
      </c>
      <c r="T59" s="35"/>
      <c r="U59" s="37">
        <v>0</v>
      </c>
      <c r="V59" s="35"/>
      <c r="W59" s="35"/>
      <c r="X59" s="35"/>
      <c r="Y59" s="35"/>
      <c r="Z59" s="38"/>
      <c r="AA59" s="36"/>
      <c r="AB59" s="39">
        <v>41493.689004629632</v>
      </c>
      <c r="AC59" s="40">
        <v>16</v>
      </c>
      <c r="AD59" s="36" t="s">
        <v>103</v>
      </c>
      <c r="AE59" s="35" t="s">
        <v>104</v>
      </c>
      <c r="AF59" s="35" t="s">
        <v>105</v>
      </c>
      <c r="AJ59" s="42"/>
      <c r="AK59" s="42"/>
      <c r="AL59" s="34" t="s">
        <v>545</v>
      </c>
    </row>
    <row r="60" spans="1:38">
      <c r="A60" s="35" t="s">
        <v>204</v>
      </c>
      <c r="B60" s="35" t="s">
        <v>205</v>
      </c>
      <c r="C60" s="36" t="s">
        <v>183</v>
      </c>
      <c r="D60" s="35"/>
      <c r="E60" s="37" t="b">
        <v>1</v>
      </c>
      <c r="F60" s="37" t="b">
        <v>0</v>
      </c>
      <c r="G60" s="37"/>
      <c r="H60" s="35"/>
      <c r="I60" s="37">
        <v>75</v>
      </c>
      <c r="J60" s="37">
        <v>480</v>
      </c>
      <c r="K60" s="36" t="s">
        <v>138</v>
      </c>
      <c r="L60" s="37">
        <v>0</v>
      </c>
      <c r="M60" s="35"/>
      <c r="N60" s="35"/>
      <c r="O60" s="36" t="s">
        <v>102</v>
      </c>
      <c r="P60" s="37" t="b">
        <v>0</v>
      </c>
      <c r="Q60" s="37">
        <f t="shared" si="1"/>
        <v>56.25</v>
      </c>
      <c r="R60" s="37">
        <v>0</v>
      </c>
      <c r="S60" s="37" t="b">
        <v>0</v>
      </c>
      <c r="T60" s="35"/>
      <c r="U60" s="37">
        <v>0</v>
      </c>
      <c r="V60" s="35"/>
      <c r="W60" s="35"/>
      <c r="X60" s="35"/>
      <c r="Y60" s="35"/>
      <c r="Z60" s="38"/>
      <c r="AA60" s="36"/>
      <c r="AB60" s="39">
        <v>41493.689085648148</v>
      </c>
      <c r="AC60" s="40">
        <v>17</v>
      </c>
      <c r="AD60" s="36" t="s">
        <v>103</v>
      </c>
      <c r="AE60" s="35" t="s">
        <v>104</v>
      </c>
      <c r="AF60" s="35" t="s">
        <v>105</v>
      </c>
      <c r="AJ60" s="42"/>
      <c r="AK60" s="42"/>
      <c r="AL60" s="34" t="s">
        <v>545</v>
      </c>
    </row>
    <row r="61" spans="1:38">
      <c r="A61" s="35" t="s">
        <v>206</v>
      </c>
      <c r="B61" s="35" t="s">
        <v>207</v>
      </c>
      <c r="C61" s="36" t="s">
        <v>183</v>
      </c>
      <c r="D61" s="35"/>
      <c r="E61" s="37" t="b">
        <v>1</v>
      </c>
      <c r="F61" s="37" t="b">
        <v>0</v>
      </c>
      <c r="G61" s="37"/>
      <c r="H61" s="35"/>
      <c r="I61" s="37">
        <v>75</v>
      </c>
      <c r="J61" s="37">
        <v>480</v>
      </c>
      <c r="K61" s="36" t="s">
        <v>138</v>
      </c>
      <c r="L61" s="37">
        <v>0</v>
      </c>
      <c r="M61" s="35"/>
      <c r="N61" s="35"/>
      <c r="O61" s="36" t="s">
        <v>102</v>
      </c>
      <c r="P61" s="37" t="b">
        <v>0</v>
      </c>
      <c r="Q61" s="37">
        <f t="shared" si="1"/>
        <v>56.25</v>
      </c>
      <c r="R61" s="37">
        <v>0</v>
      </c>
      <c r="S61" s="37" t="b">
        <v>0</v>
      </c>
      <c r="T61" s="35"/>
      <c r="U61" s="37">
        <v>0</v>
      </c>
      <c r="V61" s="35"/>
      <c r="W61" s="35"/>
      <c r="X61" s="35"/>
      <c r="Y61" s="35"/>
      <c r="Z61" s="38"/>
      <c r="AA61" s="36"/>
      <c r="AB61" s="39">
        <v>41493.689166666663</v>
      </c>
      <c r="AC61" s="40">
        <v>18</v>
      </c>
      <c r="AD61" s="36" t="s">
        <v>103</v>
      </c>
      <c r="AE61" s="35" t="s">
        <v>104</v>
      </c>
      <c r="AF61" s="35" t="s">
        <v>105</v>
      </c>
      <c r="AJ61" s="42"/>
      <c r="AK61" s="42"/>
      <c r="AL61" s="34" t="s">
        <v>545</v>
      </c>
    </row>
    <row r="62" spans="1:38">
      <c r="A62" s="35" t="s">
        <v>208</v>
      </c>
      <c r="B62" s="35" t="s">
        <v>209</v>
      </c>
      <c r="C62" s="36" t="s">
        <v>183</v>
      </c>
      <c r="D62" s="35"/>
      <c r="E62" s="37" t="b">
        <v>1</v>
      </c>
      <c r="F62" s="37" t="b">
        <v>0</v>
      </c>
      <c r="G62" s="37"/>
      <c r="H62" s="35"/>
      <c r="I62" s="37">
        <v>75</v>
      </c>
      <c r="J62" s="37">
        <v>480</v>
      </c>
      <c r="K62" s="36" t="s">
        <v>138</v>
      </c>
      <c r="L62" s="37">
        <v>0</v>
      </c>
      <c r="M62" s="35"/>
      <c r="N62" s="35"/>
      <c r="O62" s="36" t="s">
        <v>102</v>
      </c>
      <c r="P62" s="37" t="b">
        <v>0</v>
      </c>
      <c r="Q62" s="37">
        <f t="shared" si="1"/>
        <v>56.25</v>
      </c>
      <c r="R62" s="37">
        <v>0</v>
      </c>
      <c r="S62" s="37" t="b">
        <v>0</v>
      </c>
      <c r="T62" s="35"/>
      <c r="U62" s="37">
        <v>0</v>
      </c>
      <c r="V62" s="35"/>
      <c r="W62" s="35"/>
      <c r="X62" s="35"/>
      <c r="Y62" s="35"/>
      <c r="Z62" s="38"/>
      <c r="AA62" s="36"/>
      <c r="AB62" s="39">
        <v>41493.689236111109</v>
      </c>
      <c r="AC62" s="40">
        <v>19</v>
      </c>
      <c r="AD62" s="36" t="s">
        <v>103</v>
      </c>
      <c r="AE62" s="35" t="s">
        <v>104</v>
      </c>
      <c r="AF62" s="35" t="s">
        <v>105</v>
      </c>
      <c r="AJ62" s="42"/>
      <c r="AK62" s="42"/>
      <c r="AL62" s="34" t="s">
        <v>545</v>
      </c>
    </row>
    <row r="63" spans="1:38">
      <c r="A63" s="35" t="s">
        <v>210</v>
      </c>
      <c r="B63" s="35" t="s">
        <v>211</v>
      </c>
      <c r="C63" s="36" t="s">
        <v>183</v>
      </c>
      <c r="D63" s="35"/>
      <c r="E63" s="37" t="b">
        <v>0</v>
      </c>
      <c r="F63" s="37" t="b">
        <v>1</v>
      </c>
      <c r="G63" s="37"/>
      <c r="H63" s="35"/>
      <c r="I63" s="37">
        <v>75</v>
      </c>
      <c r="J63" s="37">
        <v>480</v>
      </c>
      <c r="K63" s="36" t="s">
        <v>138</v>
      </c>
      <c r="L63" s="37">
        <v>0</v>
      </c>
      <c r="M63" s="35"/>
      <c r="N63" s="35"/>
      <c r="O63" s="36" t="s">
        <v>102</v>
      </c>
      <c r="P63" s="37" t="b">
        <v>0</v>
      </c>
      <c r="Q63" s="37">
        <f t="shared" si="1"/>
        <v>56.25</v>
      </c>
      <c r="R63" s="37">
        <v>0</v>
      </c>
      <c r="S63" s="37" t="b">
        <v>0</v>
      </c>
      <c r="T63" s="35"/>
      <c r="U63" s="37">
        <v>0</v>
      </c>
      <c r="V63" s="35"/>
      <c r="W63" s="35"/>
      <c r="X63" s="35"/>
      <c r="Y63" s="35"/>
      <c r="Z63" s="38"/>
      <c r="AA63" s="36"/>
      <c r="AB63" s="39">
        <v>41493.689363425925</v>
      </c>
      <c r="AC63" s="40">
        <v>20</v>
      </c>
      <c r="AD63" s="36" t="s">
        <v>103</v>
      </c>
      <c r="AE63" s="35" t="s">
        <v>104</v>
      </c>
      <c r="AF63" s="35" t="s">
        <v>105</v>
      </c>
      <c r="AJ63" s="42"/>
      <c r="AK63" s="42"/>
      <c r="AL63" s="34" t="s">
        <v>545</v>
      </c>
    </row>
    <row r="64" spans="1:38">
      <c r="A64" s="35" t="s">
        <v>212</v>
      </c>
      <c r="B64" s="35" t="s">
        <v>547</v>
      </c>
      <c r="C64" s="36" t="s">
        <v>183</v>
      </c>
      <c r="D64" s="35"/>
      <c r="E64" s="37" t="b">
        <v>1</v>
      </c>
      <c r="F64" s="37" t="b">
        <v>0</v>
      </c>
      <c r="G64" s="37"/>
      <c r="H64" s="35"/>
      <c r="I64" s="37">
        <v>150</v>
      </c>
      <c r="J64" s="37">
        <v>480</v>
      </c>
      <c r="K64" s="36" t="s">
        <v>101</v>
      </c>
      <c r="L64" s="37">
        <v>0</v>
      </c>
      <c r="M64" s="35"/>
      <c r="N64" s="35"/>
      <c r="O64" s="36" t="s">
        <v>102</v>
      </c>
      <c r="P64" s="37" t="b">
        <v>0</v>
      </c>
      <c r="Q64" s="37">
        <f>150*0.75</f>
        <v>112.5</v>
      </c>
      <c r="R64" s="37">
        <v>0</v>
      </c>
      <c r="S64" s="37" t="b">
        <v>0</v>
      </c>
      <c r="T64" s="35"/>
      <c r="U64" s="37">
        <v>0</v>
      </c>
      <c r="V64" s="35"/>
      <c r="W64" s="35"/>
      <c r="X64" s="35"/>
      <c r="Y64" s="35"/>
      <c r="Z64" s="38"/>
      <c r="AA64" s="36"/>
      <c r="AB64" s="39">
        <v>41493.692002314812</v>
      </c>
      <c r="AC64" s="40">
        <v>21</v>
      </c>
      <c r="AD64" s="36" t="s">
        <v>103</v>
      </c>
      <c r="AE64" s="35" t="s">
        <v>104</v>
      </c>
      <c r="AF64" s="35" t="s">
        <v>105</v>
      </c>
      <c r="AH64" s="34">
        <v>2</v>
      </c>
      <c r="AI64" s="19">
        <f>(((8*7*12) + (8*3))/(365*24*2))*24</f>
        <v>0.95342465753424666</v>
      </c>
      <c r="AJ64" s="34">
        <f>2840*65*0.000434/0.79/0.95</f>
        <v>106.75069953364424</v>
      </c>
      <c r="AK64" s="34">
        <v>0</v>
      </c>
      <c r="AL64" s="34" t="s">
        <v>548</v>
      </c>
    </row>
    <row r="65" spans="1:38">
      <c r="A65" s="35" t="s">
        <v>213</v>
      </c>
      <c r="B65" s="35" t="s">
        <v>214</v>
      </c>
      <c r="C65" s="36" t="s">
        <v>183</v>
      </c>
      <c r="D65" s="35"/>
      <c r="E65" s="37" t="b">
        <v>1</v>
      </c>
      <c r="F65" s="37" t="b">
        <v>0</v>
      </c>
      <c r="G65" s="37"/>
      <c r="H65" s="35"/>
      <c r="I65" s="37">
        <v>75</v>
      </c>
      <c r="J65" s="37">
        <v>480</v>
      </c>
      <c r="K65" s="36" t="s">
        <v>101</v>
      </c>
      <c r="L65" s="37">
        <v>0</v>
      </c>
      <c r="M65" s="35"/>
      <c r="N65" s="35"/>
      <c r="O65" s="36" t="s">
        <v>102</v>
      </c>
      <c r="P65" s="37" t="b">
        <v>0</v>
      </c>
      <c r="Q65" s="37">
        <v>55.927424999999999</v>
      </c>
      <c r="R65" s="37">
        <v>0</v>
      </c>
      <c r="S65" s="37" t="b">
        <v>0</v>
      </c>
      <c r="T65" s="35"/>
      <c r="U65" s="37">
        <v>0</v>
      </c>
      <c r="V65" s="35"/>
      <c r="W65" s="35"/>
      <c r="X65" s="35"/>
      <c r="Y65" s="35"/>
      <c r="Z65" s="38"/>
      <c r="AA65" s="36"/>
      <c r="AB65" s="39">
        <v>41493.693773148145</v>
      </c>
      <c r="AC65" s="40">
        <v>22</v>
      </c>
      <c r="AD65" s="36" t="s">
        <v>103</v>
      </c>
      <c r="AE65" s="35" t="s">
        <v>104</v>
      </c>
      <c r="AF65" s="35" t="s">
        <v>105</v>
      </c>
      <c r="AH65" s="34">
        <v>2</v>
      </c>
      <c r="AI65" s="19">
        <f>(((1*7*12) + (1*3))/(365*24*2))*24</f>
        <v>0.11917808219178083</v>
      </c>
      <c r="AJ65" s="34">
        <f>3200*50/2.3*0.000434/0.7/0.95</f>
        <v>45.400457665903893</v>
      </c>
      <c r="AK65" s="34">
        <v>0</v>
      </c>
      <c r="AL65" s="34" t="s">
        <v>548</v>
      </c>
    </row>
    <row r="66" spans="1:38">
      <c r="A66" s="35" t="s">
        <v>215</v>
      </c>
      <c r="B66" s="35" t="s">
        <v>216</v>
      </c>
      <c r="C66" s="36" t="s">
        <v>183</v>
      </c>
      <c r="D66" s="35"/>
      <c r="E66" s="37" t="b">
        <v>0</v>
      </c>
      <c r="F66" s="37" t="b">
        <v>0</v>
      </c>
      <c r="G66" s="37"/>
      <c r="H66" s="35"/>
      <c r="I66" s="37">
        <v>40</v>
      </c>
      <c r="J66" s="37">
        <v>480</v>
      </c>
      <c r="K66" s="36" t="s">
        <v>101</v>
      </c>
      <c r="L66" s="37">
        <v>0</v>
      </c>
      <c r="M66" s="35"/>
      <c r="N66" s="35"/>
      <c r="O66" s="36" t="s">
        <v>102</v>
      </c>
      <c r="P66" s="37" t="b">
        <v>0</v>
      </c>
      <c r="Q66" s="37">
        <v>29.827960000000001</v>
      </c>
      <c r="R66" s="37">
        <v>0</v>
      </c>
      <c r="S66" s="37" t="b">
        <v>0</v>
      </c>
      <c r="T66" s="35"/>
      <c r="U66" s="37">
        <v>0</v>
      </c>
      <c r="V66" s="35"/>
      <c r="W66" s="35"/>
      <c r="X66" s="35"/>
      <c r="Y66" s="35"/>
      <c r="Z66" s="38"/>
      <c r="AA66" s="36"/>
      <c r="AB66" s="39">
        <v>41493.692291666666</v>
      </c>
      <c r="AC66" s="40">
        <v>23</v>
      </c>
      <c r="AD66" s="36" t="s">
        <v>103</v>
      </c>
      <c r="AE66" s="35" t="s">
        <v>104</v>
      </c>
      <c r="AF66" s="35" t="s">
        <v>105</v>
      </c>
      <c r="AH66" s="34">
        <v>1</v>
      </c>
      <c r="AI66" s="34" t="s">
        <v>46</v>
      </c>
      <c r="AJ66" s="34">
        <v>0</v>
      </c>
      <c r="AK66" s="34">
        <v>0</v>
      </c>
      <c r="AL66" s="34" t="s">
        <v>546</v>
      </c>
    </row>
    <row r="67" spans="1:38">
      <c r="A67" s="35" t="s">
        <v>217</v>
      </c>
      <c r="B67" s="35" t="s">
        <v>218</v>
      </c>
      <c r="C67" s="36" t="s">
        <v>183</v>
      </c>
      <c r="D67" s="35"/>
      <c r="E67" s="37" t="b">
        <v>0</v>
      </c>
      <c r="F67" s="37" t="b">
        <v>1</v>
      </c>
      <c r="G67" s="37"/>
      <c r="H67" s="35"/>
      <c r="I67" s="37">
        <v>40</v>
      </c>
      <c r="J67" s="37">
        <v>480</v>
      </c>
      <c r="K67" s="36" t="s">
        <v>101</v>
      </c>
      <c r="L67" s="37">
        <v>0</v>
      </c>
      <c r="M67" s="35"/>
      <c r="N67" s="35"/>
      <c r="O67" s="36" t="s">
        <v>102</v>
      </c>
      <c r="P67" s="37" t="b">
        <v>0</v>
      </c>
      <c r="Q67" s="37">
        <v>29.827960000000001</v>
      </c>
      <c r="R67" s="37">
        <v>0</v>
      </c>
      <c r="S67" s="37" t="b">
        <v>0</v>
      </c>
      <c r="T67" s="35"/>
      <c r="U67" s="37">
        <v>0</v>
      </c>
      <c r="V67" s="35"/>
      <c r="W67" s="35"/>
      <c r="X67" s="35"/>
      <c r="Y67" s="35"/>
      <c r="Z67" s="38"/>
      <c r="AA67" s="36"/>
      <c r="AB67" s="39">
        <v>41493.505011574074</v>
      </c>
      <c r="AC67" s="40">
        <v>24</v>
      </c>
      <c r="AD67" s="36" t="s">
        <v>103</v>
      </c>
      <c r="AE67" s="35" t="s">
        <v>104</v>
      </c>
      <c r="AF67" s="35" t="s">
        <v>105</v>
      </c>
      <c r="AH67" s="34">
        <v>1</v>
      </c>
      <c r="AI67" s="34" t="s">
        <v>46</v>
      </c>
      <c r="AJ67" s="34">
        <v>0</v>
      </c>
      <c r="AK67" s="34">
        <v>0</v>
      </c>
    </row>
    <row r="68" spans="1:38">
      <c r="A68" s="35" t="s">
        <v>325</v>
      </c>
      <c r="B68" s="35" t="s">
        <v>219</v>
      </c>
      <c r="C68" s="36" t="s">
        <v>183</v>
      </c>
      <c r="D68" s="35"/>
      <c r="E68" s="37" t="b">
        <v>1</v>
      </c>
      <c r="F68" s="37" t="b">
        <v>0</v>
      </c>
      <c r="G68" s="37"/>
      <c r="H68" s="35"/>
      <c r="I68" s="37">
        <v>200</v>
      </c>
      <c r="J68" s="37">
        <v>480</v>
      </c>
      <c r="K68" s="36" t="s">
        <v>138</v>
      </c>
      <c r="L68" s="37">
        <v>0</v>
      </c>
      <c r="M68" s="35"/>
      <c r="N68" s="35"/>
      <c r="O68" s="36" t="s">
        <v>102</v>
      </c>
      <c r="P68" s="37" t="b">
        <v>0</v>
      </c>
      <c r="Q68" s="37">
        <v>149.13980000000001</v>
      </c>
      <c r="R68" s="37">
        <v>0</v>
      </c>
      <c r="S68" s="37" t="b">
        <v>0</v>
      </c>
      <c r="T68" s="35"/>
      <c r="U68" s="37">
        <v>0</v>
      </c>
      <c r="V68" s="35"/>
      <c r="W68" s="35"/>
      <c r="X68" s="35"/>
      <c r="Y68" s="35"/>
      <c r="Z68" s="38"/>
      <c r="AA68" s="36"/>
      <c r="AB68" s="39">
        <v>41481.472384259258</v>
      </c>
      <c r="AC68" s="40">
        <v>25</v>
      </c>
      <c r="AD68" s="36" t="s">
        <v>103</v>
      </c>
      <c r="AE68" s="35" t="s">
        <v>104</v>
      </c>
      <c r="AF68" s="35" t="s">
        <v>105</v>
      </c>
      <c r="AJ68" s="42"/>
      <c r="AK68" s="42"/>
      <c r="AL68" s="34" t="s">
        <v>545</v>
      </c>
    </row>
    <row r="69" spans="1:38">
      <c r="A69" s="35" t="s">
        <v>622</v>
      </c>
      <c r="B69" s="35" t="s">
        <v>220</v>
      </c>
      <c r="C69" s="36" t="s">
        <v>183</v>
      </c>
      <c r="D69" s="35"/>
      <c r="E69" s="37" t="b">
        <v>1</v>
      </c>
      <c r="F69" s="37" t="b">
        <v>0</v>
      </c>
      <c r="G69" s="37"/>
      <c r="H69" s="35"/>
      <c r="I69" s="37">
        <v>200</v>
      </c>
      <c r="J69" s="37">
        <v>480</v>
      </c>
      <c r="K69" s="36" t="s">
        <v>138</v>
      </c>
      <c r="L69" s="37">
        <v>0</v>
      </c>
      <c r="M69" s="35"/>
      <c r="N69" s="35"/>
      <c r="O69" s="36" t="s">
        <v>102</v>
      </c>
      <c r="P69" s="37" t="b">
        <v>0</v>
      </c>
      <c r="Q69" s="37">
        <v>149.13980000000001</v>
      </c>
      <c r="R69" s="37">
        <v>0</v>
      </c>
      <c r="S69" s="37" t="b">
        <v>0</v>
      </c>
      <c r="T69" s="35"/>
      <c r="U69" s="37">
        <v>0</v>
      </c>
      <c r="V69" s="35"/>
      <c r="W69" s="35"/>
      <c r="X69" s="35"/>
      <c r="Y69" s="35"/>
      <c r="Z69" s="38"/>
      <c r="AA69" s="36"/>
      <c r="AB69" s="39">
        <v>41481.472384259258</v>
      </c>
      <c r="AC69" s="40">
        <v>26</v>
      </c>
      <c r="AD69" s="36" t="s">
        <v>103</v>
      </c>
      <c r="AE69" s="35" t="s">
        <v>104</v>
      </c>
      <c r="AF69" s="35" t="s">
        <v>105</v>
      </c>
      <c r="AJ69" s="42"/>
      <c r="AK69" s="42"/>
      <c r="AL69" s="34" t="s">
        <v>545</v>
      </c>
    </row>
    <row r="70" spans="1:38">
      <c r="A70" s="35" t="s">
        <v>623</v>
      </c>
      <c r="B70" s="35" t="s">
        <v>221</v>
      </c>
      <c r="C70" s="36" t="s">
        <v>183</v>
      </c>
      <c r="D70" s="35"/>
      <c r="E70" s="37" t="b">
        <v>1</v>
      </c>
      <c r="F70" s="37" t="b">
        <v>0</v>
      </c>
      <c r="G70" s="37"/>
      <c r="H70" s="35"/>
      <c r="I70" s="37">
        <v>20</v>
      </c>
      <c r="J70" s="37">
        <v>480</v>
      </c>
      <c r="K70" s="36" t="s">
        <v>101</v>
      </c>
      <c r="L70" s="37">
        <v>0</v>
      </c>
      <c r="M70" s="35"/>
      <c r="N70" s="35"/>
      <c r="O70" s="36" t="s">
        <v>102</v>
      </c>
      <c r="P70" s="37" t="b">
        <v>0</v>
      </c>
      <c r="Q70" s="37">
        <v>14.91398</v>
      </c>
      <c r="R70" s="37">
        <v>0</v>
      </c>
      <c r="S70" s="37" t="b">
        <v>0</v>
      </c>
      <c r="T70" s="35"/>
      <c r="U70" s="37">
        <v>0</v>
      </c>
      <c r="V70" s="35"/>
      <c r="W70" s="35"/>
      <c r="X70" s="35"/>
      <c r="Y70" s="35"/>
      <c r="Z70" s="38"/>
      <c r="AA70" s="36"/>
      <c r="AB70" s="39">
        <v>41481.473611111112</v>
      </c>
      <c r="AC70" s="40">
        <v>64</v>
      </c>
      <c r="AD70" s="36" t="s">
        <v>103</v>
      </c>
      <c r="AE70" s="35" t="s">
        <v>104</v>
      </c>
      <c r="AF70" s="35" t="s">
        <v>105</v>
      </c>
      <c r="AH70" s="34">
        <v>2</v>
      </c>
      <c r="AJ70" s="34">
        <f>Table_owssvr_1[[#This Row],[Total Connected Load (kW)]]</f>
        <v>14.91398</v>
      </c>
      <c r="AK70" s="34">
        <f>Table_owssvr_1[[#This Row],[Total Connected Load (kW)]]</f>
        <v>14.91398</v>
      </c>
    </row>
    <row r="71" spans="1:38">
      <c r="A71" s="35" t="s">
        <v>624</v>
      </c>
      <c r="B71" s="35" t="s">
        <v>222</v>
      </c>
      <c r="C71" s="36" t="s">
        <v>183</v>
      </c>
      <c r="D71" s="35"/>
      <c r="E71" s="37" t="b">
        <v>0</v>
      </c>
      <c r="F71" s="37" t="b">
        <v>1</v>
      </c>
      <c r="G71" s="37"/>
      <c r="H71" s="35"/>
      <c r="I71" s="37">
        <v>20</v>
      </c>
      <c r="J71" s="37">
        <v>480</v>
      </c>
      <c r="K71" s="36" t="s">
        <v>101</v>
      </c>
      <c r="L71" s="37">
        <v>0</v>
      </c>
      <c r="M71" s="35"/>
      <c r="N71" s="35"/>
      <c r="O71" s="36" t="s">
        <v>102</v>
      </c>
      <c r="P71" s="37" t="b">
        <v>0</v>
      </c>
      <c r="Q71" s="37">
        <v>14.91398</v>
      </c>
      <c r="R71" s="37">
        <v>0</v>
      </c>
      <c r="S71" s="37" t="b">
        <v>0</v>
      </c>
      <c r="T71" s="35"/>
      <c r="U71" s="37">
        <v>0</v>
      </c>
      <c r="V71" s="35"/>
      <c r="W71" s="35"/>
      <c r="X71" s="35"/>
      <c r="Y71" s="35"/>
      <c r="Z71" s="38"/>
      <c r="AA71" s="36"/>
      <c r="AB71" s="39">
        <v>41481.473611111112</v>
      </c>
      <c r="AC71" s="40">
        <v>65</v>
      </c>
      <c r="AD71" s="36" t="s">
        <v>103</v>
      </c>
      <c r="AE71" s="35" t="s">
        <v>104</v>
      </c>
      <c r="AF71" s="35" t="s">
        <v>105</v>
      </c>
      <c r="AH71" s="34">
        <v>2</v>
      </c>
      <c r="AJ71" s="34">
        <f>Table_owssvr_1[[#This Row],[Total Connected Load (kW)]]</f>
        <v>14.91398</v>
      </c>
      <c r="AK71" s="34">
        <v>0</v>
      </c>
    </row>
    <row r="72" spans="1:38">
      <c r="A72" s="35" t="s">
        <v>625</v>
      </c>
      <c r="B72" s="35" t="s">
        <v>223</v>
      </c>
      <c r="C72" s="36" t="s">
        <v>183</v>
      </c>
      <c r="D72" s="35"/>
      <c r="E72" s="37" t="b">
        <v>1</v>
      </c>
      <c r="F72" s="37" t="b">
        <v>0</v>
      </c>
      <c r="G72" s="37"/>
      <c r="H72" s="35"/>
      <c r="I72" s="37">
        <v>20</v>
      </c>
      <c r="J72" s="37">
        <v>480</v>
      </c>
      <c r="K72" s="36" t="s">
        <v>101</v>
      </c>
      <c r="L72" s="37">
        <v>0</v>
      </c>
      <c r="M72" s="35"/>
      <c r="N72" s="35"/>
      <c r="O72" s="36" t="s">
        <v>102</v>
      </c>
      <c r="P72" s="37" t="b">
        <v>0</v>
      </c>
      <c r="Q72" s="37">
        <v>14.91398</v>
      </c>
      <c r="R72" s="37">
        <v>0</v>
      </c>
      <c r="S72" s="37" t="b">
        <v>0</v>
      </c>
      <c r="T72" s="35"/>
      <c r="U72" s="37">
        <v>0</v>
      </c>
      <c r="V72" s="35"/>
      <c r="W72" s="35"/>
      <c r="X72" s="35"/>
      <c r="Y72" s="35"/>
      <c r="Z72" s="38"/>
      <c r="AA72" s="36"/>
      <c r="AB72" s="39">
        <v>41481.473611111112</v>
      </c>
      <c r="AC72" s="40">
        <v>66</v>
      </c>
      <c r="AD72" s="36" t="s">
        <v>103</v>
      </c>
      <c r="AE72" s="35" t="s">
        <v>104</v>
      </c>
      <c r="AF72" s="35" t="s">
        <v>105</v>
      </c>
      <c r="AJ72" s="34">
        <f>Table_owssvr_1[[#This Row],[Total Connected Load (kW)]]</f>
        <v>14.91398</v>
      </c>
      <c r="AK72" s="34">
        <f>Table_owssvr_1[[#This Row],[Total Connected Load (kW)]]</f>
        <v>14.91398</v>
      </c>
    </row>
    <row r="73" spans="1:38">
      <c r="A73" s="35" t="s">
        <v>626</v>
      </c>
      <c r="B73" s="35" t="s">
        <v>223</v>
      </c>
      <c r="C73" s="36"/>
      <c r="D73" s="35"/>
      <c r="E73" s="37" t="b">
        <v>0</v>
      </c>
      <c r="F73" s="37" t="b">
        <v>1</v>
      </c>
      <c r="G73" s="37"/>
      <c r="H73" s="35"/>
      <c r="I73" s="37">
        <v>20</v>
      </c>
      <c r="J73" s="37">
        <v>480</v>
      </c>
      <c r="K73" s="36" t="s">
        <v>101</v>
      </c>
      <c r="L73" s="37">
        <v>0</v>
      </c>
      <c r="M73" s="35"/>
      <c r="N73" s="35"/>
      <c r="O73" s="36" t="s">
        <v>102</v>
      </c>
      <c r="P73" s="37" t="b">
        <v>0</v>
      </c>
      <c r="Q73" s="37">
        <v>14.91398</v>
      </c>
      <c r="R73" s="37">
        <v>0</v>
      </c>
      <c r="S73" s="37"/>
      <c r="T73" s="35"/>
      <c r="U73" s="37"/>
      <c r="V73" s="35"/>
      <c r="W73" s="35"/>
      <c r="X73" s="35"/>
      <c r="Y73" s="35"/>
      <c r="Z73" s="38"/>
      <c r="AA73" s="36"/>
      <c r="AB73" s="39"/>
      <c r="AC73" s="40"/>
      <c r="AD73" s="36"/>
      <c r="AE73" s="35"/>
      <c r="AF73" s="35"/>
      <c r="AJ73" s="34">
        <f>AJ72</f>
        <v>14.91398</v>
      </c>
    </row>
    <row r="74" spans="1:38" hidden="1">
      <c r="A74" s="35"/>
      <c r="B74" s="35" t="s">
        <v>224</v>
      </c>
      <c r="C74" s="36" t="s">
        <v>183</v>
      </c>
      <c r="D74" s="35"/>
      <c r="E74" s="37" t="b">
        <v>1</v>
      </c>
      <c r="F74" s="37" t="b">
        <v>0</v>
      </c>
      <c r="G74" s="37"/>
      <c r="H74" s="35"/>
      <c r="I74" s="37">
        <v>0</v>
      </c>
      <c r="J74" s="37"/>
      <c r="K74" s="36" t="s">
        <v>101</v>
      </c>
      <c r="L74" s="37">
        <v>0</v>
      </c>
      <c r="M74" s="35"/>
      <c r="N74" s="35"/>
      <c r="O74" s="36" t="s">
        <v>102</v>
      </c>
      <c r="P74" s="37" t="b">
        <v>0</v>
      </c>
      <c r="Q74" s="37">
        <v>0</v>
      </c>
      <c r="R74" s="37">
        <v>0</v>
      </c>
      <c r="S74" s="37" t="b">
        <v>0</v>
      </c>
      <c r="T74" s="35"/>
      <c r="U74" s="37">
        <v>0</v>
      </c>
      <c r="V74" s="35"/>
      <c r="W74" s="35"/>
      <c r="X74" s="35"/>
      <c r="Y74" s="35"/>
      <c r="Z74" s="38"/>
      <c r="AA74" s="36"/>
      <c r="AB74" s="39">
        <v>41481.473611111112</v>
      </c>
      <c r="AC74" s="40">
        <v>78</v>
      </c>
      <c r="AD74" s="36" t="s">
        <v>103</v>
      </c>
      <c r="AE74" s="35" t="s">
        <v>104</v>
      </c>
      <c r="AF74" s="35" t="s">
        <v>105</v>
      </c>
    </row>
    <row r="75" spans="1:38" hidden="1">
      <c r="A75" s="35"/>
      <c r="B75" s="35" t="s">
        <v>225</v>
      </c>
      <c r="C75" s="36" t="s">
        <v>183</v>
      </c>
      <c r="D75" s="35"/>
      <c r="E75" s="37" t="b">
        <v>1</v>
      </c>
      <c r="F75" s="37" t="b">
        <v>0</v>
      </c>
      <c r="G75" s="37"/>
      <c r="H75" s="35"/>
      <c r="I75" s="37">
        <v>0</v>
      </c>
      <c r="J75" s="37"/>
      <c r="K75" s="36" t="s">
        <v>101</v>
      </c>
      <c r="L75" s="37">
        <v>0</v>
      </c>
      <c r="M75" s="35"/>
      <c r="N75" s="35"/>
      <c r="O75" s="36" t="s">
        <v>102</v>
      </c>
      <c r="P75" s="37" t="b">
        <v>0</v>
      </c>
      <c r="Q75" s="37">
        <v>0</v>
      </c>
      <c r="R75" s="37">
        <v>0</v>
      </c>
      <c r="S75" s="37" t="b">
        <v>0</v>
      </c>
      <c r="T75" s="35"/>
      <c r="U75" s="37">
        <v>0</v>
      </c>
      <c r="V75" s="35"/>
      <c r="W75" s="35"/>
      <c r="X75" s="35"/>
      <c r="Y75" s="35"/>
      <c r="Z75" s="38"/>
      <c r="AA75" s="36"/>
      <c r="AB75" s="39">
        <v>41481.473611111112</v>
      </c>
      <c r="AC75" s="40">
        <v>79</v>
      </c>
      <c r="AD75" s="36" t="s">
        <v>103</v>
      </c>
      <c r="AE75" s="35" t="s">
        <v>104</v>
      </c>
      <c r="AF75" s="35" t="s">
        <v>105</v>
      </c>
    </row>
    <row r="76" spans="1:38" hidden="1">
      <c r="A76" s="35"/>
      <c r="B76" s="35" t="s">
        <v>226</v>
      </c>
      <c r="C76" s="36" t="s">
        <v>183</v>
      </c>
      <c r="D76" s="35"/>
      <c r="E76" s="37" t="b">
        <v>1</v>
      </c>
      <c r="F76" s="37" t="b">
        <v>0</v>
      </c>
      <c r="G76" s="37"/>
      <c r="H76" s="35"/>
      <c r="I76" s="37">
        <v>0</v>
      </c>
      <c r="J76" s="37"/>
      <c r="K76" s="36" t="s">
        <v>101</v>
      </c>
      <c r="L76" s="37">
        <v>0</v>
      </c>
      <c r="M76" s="35"/>
      <c r="N76" s="35"/>
      <c r="O76" s="36" t="s">
        <v>102</v>
      </c>
      <c r="P76" s="37" t="b">
        <v>0</v>
      </c>
      <c r="Q76" s="37">
        <v>0</v>
      </c>
      <c r="R76" s="37">
        <v>0</v>
      </c>
      <c r="S76" s="37" t="b">
        <v>0</v>
      </c>
      <c r="T76" s="35"/>
      <c r="U76" s="37">
        <v>0</v>
      </c>
      <c r="V76" s="35"/>
      <c r="W76" s="35"/>
      <c r="X76" s="35"/>
      <c r="Y76" s="35"/>
      <c r="Z76" s="38"/>
      <c r="AA76" s="36"/>
      <c r="AB76" s="39">
        <v>41481.473611111112</v>
      </c>
      <c r="AC76" s="40">
        <v>80</v>
      </c>
      <c r="AD76" s="36" t="s">
        <v>103</v>
      </c>
      <c r="AE76" s="35" t="s">
        <v>104</v>
      </c>
      <c r="AF76" s="35" t="s">
        <v>105</v>
      </c>
    </row>
    <row r="77" spans="1:38" hidden="1">
      <c r="A77" s="35"/>
      <c r="B77" s="35" t="s">
        <v>227</v>
      </c>
      <c r="C77" s="36" t="s">
        <v>183</v>
      </c>
      <c r="D77" s="35"/>
      <c r="E77" s="37" t="b">
        <v>1</v>
      </c>
      <c r="F77" s="37" t="b">
        <v>0</v>
      </c>
      <c r="G77" s="37"/>
      <c r="H77" s="35"/>
      <c r="I77" s="37">
        <v>0</v>
      </c>
      <c r="J77" s="37"/>
      <c r="K77" s="36" t="s">
        <v>101</v>
      </c>
      <c r="L77" s="37">
        <v>0</v>
      </c>
      <c r="M77" s="35"/>
      <c r="N77" s="35"/>
      <c r="O77" s="36" t="s">
        <v>102</v>
      </c>
      <c r="P77" s="37" t="b">
        <v>0</v>
      </c>
      <c r="Q77" s="37">
        <v>0</v>
      </c>
      <c r="R77" s="37">
        <v>0</v>
      </c>
      <c r="S77" s="37" t="b">
        <v>0</v>
      </c>
      <c r="T77" s="35"/>
      <c r="U77" s="37">
        <v>0</v>
      </c>
      <c r="V77" s="35"/>
      <c r="W77" s="35"/>
      <c r="X77" s="35"/>
      <c r="Y77" s="35"/>
      <c r="Z77" s="38"/>
      <c r="AA77" s="36"/>
      <c r="AB77" s="39">
        <v>41481.47246527778</v>
      </c>
      <c r="AC77" s="40">
        <v>81</v>
      </c>
      <c r="AD77" s="36" t="s">
        <v>103</v>
      </c>
      <c r="AE77" s="35" t="s">
        <v>104</v>
      </c>
      <c r="AF77" s="35" t="s">
        <v>105</v>
      </c>
    </row>
    <row r="78" spans="1:38" hidden="1">
      <c r="A78" s="35"/>
      <c r="B78" s="35" t="s">
        <v>228</v>
      </c>
      <c r="C78" s="36" t="s">
        <v>183</v>
      </c>
      <c r="D78" s="35"/>
      <c r="E78" s="37" t="b">
        <v>1</v>
      </c>
      <c r="F78" s="37" t="b">
        <v>0</v>
      </c>
      <c r="G78" s="37"/>
      <c r="H78" s="35"/>
      <c r="I78" s="37">
        <v>0</v>
      </c>
      <c r="J78" s="37"/>
      <c r="K78" s="36" t="s">
        <v>101</v>
      </c>
      <c r="L78" s="37">
        <v>0</v>
      </c>
      <c r="M78" s="35"/>
      <c r="N78" s="35"/>
      <c r="O78" s="36" t="s">
        <v>102</v>
      </c>
      <c r="P78" s="37" t="b">
        <v>0</v>
      </c>
      <c r="Q78" s="37">
        <v>0</v>
      </c>
      <c r="R78" s="37">
        <v>0</v>
      </c>
      <c r="S78" s="37" t="b">
        <v>0</v>
      </c>
      <c r="T78" s="35"/>
      <c r="U78" s="37">
        <v>0</v>
      </c>
      <c r="V78" s="35"/>
      <c r="W78" s="35"/>
      <c r="X78" s="35"/>
      <c r="Y78" s="35"/>
      <c r="Z78" s="38"/>
      <c r="AA78" s="36"/>
      <c r="AB78" s="39">
        <v>41481.47246527778</v>
      </c>
      <c r="AC78" s="40">
        <v>82</v>
      </c>
      <c r="AD78" s="36" t="s">
        <v>103</v>
      </c>
      <c r="AE78" s="35" t="s">
        <v>104</v>
      </c>
      <c r="AF78" s="35" t="s">
        <v>105</v>
      </c>
    </row>
    <row r="79" spans="1:38" hidden="1">
      <c r="A79" s="35"/>
      <c r="B79" s="35" t="s">
        <v>229</v>
      </c>
      <c r="C79" s="36" t="s">
        <v>183</v>
      </c>
      <c r="D79" s="35"/>
      <c r="E79" s="37" t="b">
        <v>1</v>
      </c>
      <c r="F79" s="37" t="b">
        <v>0</v>
      </c>
      <c r="G79" s="37"/>
      <c r="H79" s="35"/>
      <c r="I79" s="37">
        <v>0</v>
      </c>
      <c r="J79" s="37"/>
      <c r="K79" s="36" t="s">
        <v>101</v>
      </c>
      <c r="L79" s="37">
        <v>0</v>
      </c>
      <c r="M79" s="35"/>
      <c r="N79" s="35"/>
      <c r="O79" s="36" t="s">
        <v>102</v>
      </c>
      <c r="P79" s="37" t="b">
        <v>0</v>
      </c>
      <c r="Q79" s="37">
        <v>0</v>
      </c>
      <c r="R79" s="37">
        <v>0</v>
      </c>
      <c r="S79" s="37" t="b">
        <v>0</v>
      </c>
      <c r="T79" s="35"/>
      <c r="U79" s="37">
        <v>0</v>
      </c>
      <c r="V79" s="35"/>
      <c r="W79" s="35"/>
      <c r="X79" s="35"/>
      <c r="Y79" s="35"/>
      <c r="Z79" s="38"/>
      <c r="AA79" s="36"/>
      <c r="AB79" s="39">
        <v>41481.47246527778</v>
      </c>
      <c r="AC79" s="40">
        <v>83</v>
      </c>
      <c r="AD79" s="36" t="s">
        <v>103</v>
      </c>
      <c r="AE79" s="35" t="s">
        <v>104</v>
      </c>
      <c r="AF79" s="35" t="s">
        <v>105</v>
      </c>
    </row>
    <row r="80" spans="1:38" hidden="1">
      <c r="A80" s="35"/>
      <c r="B80" s="35" t="s">
        <v>230</v>
      </c>
      <c r="C80" s="36" t="s">
        <v>183</v>
      </c>
      <c r="D80" s="35"/>
      <c r="E80" s="37" t="b">
        <v>0</v>
      </c>
      <c r="F80" s="37" t="b">
        <v>1</v>
      </c>
      <c r="G80" s="37"/>
      <c r="H80" s="35"/>
      <c r="I80" s="37">
        <v>0</v>
      </c>
      <c r="J80" s="37"/>
      <c r="K80" s="36" t="s">
        <v>101</v>
      </c>
      <c r="L80" s="37">
        <v>0</v>
      </c>
      <c r="M80" s="35"/>
      <c r="N80" s="35"/>
      <c r="O80" s="36" t="s">
        <v>102</v>
      </c>
      <c r="P80" s="37" t="b">
        <v>0</v>
      </c>
      <c r="Q80" s="37">
        <v>0</v>
      </c>
      <c r="R80" s="37">
        <v>0</v>
      </c>
      <c r="S80" s="37" t="b">
        <v>0</v>
      </c>
      <c r="T80" s="35"/>
      <c r="U80" s="37">
        <v>0</v>
      </c>
      <c r="V80" s="35"/>
      <c r="W80" s="35"/>
      <c r="X80" s="35"/>
      <c r="Y80" s="35"/>
      <c r="Z80" s="38"/>
      <c r="AA80" s="36"/>
      <c r="AB80" s="39">
        <v>41481.47283564815</v>
      </c>
      <c r="AC80" s="40">
        <v>84</v>
      </c>
      <c r="AD80" s="36" t="s">
        <v>103</v>
      </c>
      <c r="AE80" s="35" t="s">
        <v>104</v>
      </c>
      <c r="AF80" s="35" t="s">
        <v>105</v>
      </c>
    </row>
    <row r="81" spans="1:38" hidden="1">
      <c r="A81" s="35" t="s">
        <v>231</v>
      </c>
      <c r="B81" s="35" t="s">
        <v>232</v>
      </c>
      <c r="C81" s="36" t="s">
        <v>183</v>
      </c>
      <c r="D81" s="35"/>
      <c r="E81" s="37" t="b">
        <v>1</v>
      </c>
      <c r="F81" s="37" t="b">
        <v>0</v>
      </c>
      <c r="G81" s="37"/>
      <c r="H81" s="35"/>
      <c r="I81" s="37">
        <v>0</v>
      </c>
      <c r="J81" s="37"/>
      <c r="K81" s="36" t="s">
        <v>101</v>
      </c>
      <c r="L81" s="37">
        <v>0</v>
      </c>
      <c r="M81" s="35"/>
      <c r="N81" s="35"/>
      <c r="O81" s="36" t="s">
        <v>102</v>
      </c>
      <c r="P81" s="37" t="b">
        <v>0</v>
      </c>
      <c r="Q81" s="37">
        <v>0</v>
      </c>
      <c r="R81" s="37">
        <v>0</v>
      </c>
      <c r="S81" s="37" t="b">
        <v>0</v>
      </c>
      <c r="T81" s="35"/>
      <c r="U81" s="37">
        <v>0</v>
      </c>
      <c r="V81" s="35"/>
      <c r="W81" s="35"/>
      <c r="X81" s="35"/>
      <c r="Y81" s="35"/>
      <c r="Z81" s="38"/>
      <c r="AA81" s="36"/>
      <c r="AB81" s="39">
        <v>41493.463750000003</v>
      </c>
      <c r="AC81" s="40">
        <v>85</v>
      </c>
      <c r="AD81" s="36" t="s">
        <v>103</v>
      </c>
      <c r="AE81" s="35" t="s">
        <v>104</v>
      </c>
      <c r="AF81" s="35" t="s">
        <v>105</v>
      </c>
    </row>
    <row r="82" spans="1:38" hidden="1">
      <c r="A82" s="35" t="s">
        <v>233</v>
      </c>
      <c r="B82" s="35" t="s">
        <v>234</v>
      </c>
      <c r="C82" s="36" t="s">
        <v>183</v>
      </c>
      <c r="D82" s="35"/>
      <c r="E82" s="37" t="b">
        <v>1</v>
      </c>
      <c r="F82" s="37" t="b">
        <v>0</v>
      </c>
      <c r="G82" s="37"/>
      <c r="H82" s="35"/>
      <c r="I82" s="37">
        <v>0</v>
      </c>
      <c r="J82" s="37"/>
      <c r="K82" s="36" t="s">
        <v>101</v>
      </c>
      <c r="L82" s="37">
        <v>0</v>
      </c>
      <c r="M82" s="35"/>
      <c r="N82" s="35"/>
      <c r="O82" s="36" t="s">
        <v>102</v>
      </c>
      <c r="P82" s="37" t="b">
        <v>0</v>
      </c>
      <c r="Q82" s="37">
        <v>0</v>
      </c>
      <c r="R82" s="37">
        <v>0</v>
      </c>
      <c r="S82" s="37" t="b">
        <v>0</v>
      </c>
      <c r="T82" s="35"/>
      <c r="U82" s="37">
        <v>0</v>
      </c>
      <c r="V82" s="35"/>
      <c r="W82" s="35"/>
      <c r="X82" s="35"/>
      <c r="Y82" s="35"/>
      <c r="Z82" s="38"/>
      <c r="AA82" s="36"/>
      <c r="AB82" s="39">
        <v>41493.463807870372</v>
      </c>
      <c r="AC82" s="40">
        <v>86</v>
      </c>
      <c r="AD82" s="36" t="s">
        <v>103</v>
      </c>
      <c r="AE82" s="35" t="s">
        <v>104</v>
      </c>
      <c r="AF82" s="35" t="s">
        <v>105</v>
      </c>
    </row>
    <row r="83" spans="1:38" hidden="1">
      <c r="A83" s="35" t="s">
        <v>235</v>
      </c>
      <c r="B83" s="35" t="s">
        <v>236</v>
      </c>
      <c r="C83" s="36" t="s">
        <v>183</v>
      </c>
      <c r="D83" s="35"/>
      <c r="E83" s="37" t="b">
        <v>1</v>
      </c>
      <c r="F83" s="37" t="b">
        <v>0</v>
      </c>
      <c r="G83" s="37"/>
      <c r="H83" s="35"/>
      <c r="I83" s="37">
        <v>0</v>
      </c>
      <c r="J83" s="37"/>
      <c r="K83" s="36" t="s">
        <v>101</v>
      </c>
      <c r="L83" s="37">
        <v>0</v>
      </c>
      <c r="M83" s="35"/>
      <c r="N83" s="35"/>
      <c r="O83" s="36" t="s">
        <v>102</v>
      </c>
      <c r="P83" s="37" t="b">
        <v>0</v>
      </c>
      <c r="Q83" s="37">
        <v>0</v>
      </c>
      <c r="R83" s="37">
        <v>0</v>
      </c>
      <c r="S83" s="37" t="b">
        <v>0</v>
      </c>
      <c r="T83" s="35"/>
      <c r="U83" s="37">
        <v>0</v>
      </c>
      <c r="V83" s="35"/>
      <c r="W83" s="35"/>
      <c r="X83" s="35"/>
      <c r="Y83" s="35"/>
      <c r="Z83" s="38"/>
      <c r="AA83" s="36"/>
      <c r="AB83" s="39">
        <v>41493.463865740741</v>
      </c>
      <c r="AC83" s="40">
        <v>87</v>
      </c>
      <c r="AD83" s="36" t="s">
        <v>103</v>
      </c>
      <c r="AE83" s="35" t="s">
        <v>104</v>
      </c>
      <c r="AF83" s="35" t="s">
        <v>105</v>
      </c>
    </row>
    <row r="84" spans="1:38" hidden="1">
      <c r="A84" s="35" t="s">
        <v>237</v>
      </c>
      <c r="B84" s="35" t="s">
        <v>238</v>
      </c>
      <c r="C84" s="36" t="s">
        <v>183</v>
      </c>
      <c r="D84" s="35"/>
      <c r="E84" s="37" t="b">
        <v>1</v>
      </c>
      <c r="F84" s="37" t="b">
        <v>0</v>
      </c>
      <c r="G84" s="37"/>
      <c r="H84" s="35"/>
      <c r="I84" s="37">
        <v>0</v>
      </c>
      <c r="J84" s="37"/>
      <c r="K84" s="36" t="s">
        <v>101</v>
      </c>
      <c r="L84" s="37">
        <v>0</v>
      </c>
      <c r="M84" s="35"/>
      <c r="N84" s="35"/>
      <c r="O84" s="36" t="s">
        <v>102</v>
      </c>
      <c r="P84" s="37" t="b">
        <v>0</v>
      </c>
      <c r="Q84" s="37">
        <v>0</v>
      </c>
      <c r="R84" s="37">
        <v>0</v>
      </c>
      <c r="S84" s="37" t="b">
        <v>0</v>
      </c>
      <c r="T84" s="35"/>
      <c r="U84" s="37">
        <v>0</v>
      </c>
      <c r="V84" s="35"/>
      <c r="W84" s="35"/>
      <c r="X84" s="35"/>
      <c r="Y84" s="35"/>
      <c r="Z84" s="38"/>
      <c r="AA84" s="36"/>
      <c r="AB84" s="39">
        <v>41493.46398148148</v>
      </c>
      <c r="AC84" s="40">
        <v>88</v>
      </c>
      <c r="AD84" s="36" t="s">
        <v>103</v>
      </c>
      <c r="AE84" s="35" t="s">
        <v>104</v>
      </c>
      <c r="AF84" s="35" t="s">
        <v>105</v>
      </c>
    </row>
    <row r="85" spans="1:38" hidden="1">
      <c r="A85" s="35" t="s">
        <v>239</v>
      </c>
      <c r="B85" s="35" t="s">
        <v>240</v>
      </c>
      <c r="C85" s="36" t="s">
        <v>183</v>
      </c>
      <c r="D85" s="35"/>
      <c r="E85" s="37" t="b">
        <v>1</v>
      </c>
      <c r="F85" s="37" t="b">
        <v>0</v>
      </c>
      <c r="G85" s="37"/>
      <c r="H85" s="35"/>
      <c r="I85" s="37">
        <v>0</v>
      </c>
      <c r="J85" s="37"/>
      <c r="K85" s="36" t="s">
        <v>101</v>
      </c>
      <c r="L85" s="37">
        <v>0</v>
      </c>
      <c r="M85" s="35"/>
      <c r="N85" s="35"/>
      <c r="O85" s="36" t="s">
        <v>102</v>
      </c>
      <c r="P85" s="37" t="b">
        <v>0</v>
      </c>
      <c r="Q85" s="37">
        <v>0</v>
      </c>
      <c r="R85" s="37">
        <v>0</v>
      </c>
      <c r="S85" s="37" t="b">
        <v>0</v>
      </c>
      <c r="T85" s="35"/>
      <c r="U85" s="37">
        <v>0</v>
      </c>
      <c r="V85" s="35"/>
      <c r="W85" s="35"/>
      <c r="X85" s="35"/>
      <c r="Y85" s="35"/>
      <c r="Z85" s="38"/>
      <c r="AA85" s="36"/>
      <c r="AB85" s="39">
        <v>41493.463993055557</v>
      </c>
      <c r="AC85" s="40">
        <v>89</v>
      </c>
      <c r="AD85" s="36" t="s">
        <v>103</v>
      </c>
      <c r="AE85" s="35" t="s">
        <v>104</v>
      </c>
      <c r="AF85" s="35" t="s">
        <v>105</v>
      </c>
    </row>
    <row r="86" spans="1:38" hidden="1">
      <c r="A86" s="35" t="s">
        <v>241</v>
      </c>
      <c r="B86" s="35" t="s">
        <v>242</v>
      </c>
      <c r="C86" s="36" t="s">
        <v>183</v>
      </c>
      <c r="D86" s="35"/>
      <c r="E86" s="37" t="b">
        <v>1</v>
      </c>
      <c r="F86" s="37" t="b">
        <v>0</v>
      </c>
      <c r="G86" s="37"/>
      <c r="H86" s="35"/>
      <c r="I86" s="37">
        <v>0</v>
      </c>
      <c r="J86" s="37"/>
      <c r="K86" s="36" t="s">
        <v>101</v>
      </c>
      <c r="L86" s="37">
        <v>0</v>
      </c>
      <c r="M86" s="35"/>
      <c r="N86" s="35"/>
      <c r="O86" s="36" t="s">
        <v>102</v>
      </c>
      <c r="P86" s="37" t="b">
        <v>0</v>
      </c>
      <c r="Q86" s="37">
        <v>0</v>
      </c>
      <c r="R86" s="37">
        <v>0</v>
      </c>
      <c r="S86" s="37" t="b">
        <v>0</v>
      </c>
      <c r="T86" s="35"/>
      <c r="U86" s="37">
        <v>0</v>
      </c>
      <c r="V86" s="35"/>
      <c r="W86" s="35"/>
      <c r="X86" s="35"/>
      <c r="Y86" s="35"/>
      <c r="Z86" s="38"/>
      <c r="AA86" s="36"/>
      <c r="AB86" s="39">
        <v>41493.464016203703</v>
      </c>
      <c r="AC86" s="40">
        <v>90</v>
      </c>
      <c r="AD86" s="36" t="s">
        <v>103</v>
      </c>
      <c r="AE86" s="35" t="s">
        <v>104</v>
      </c>
      <c r="AF86" s="35" t="s">
        <v>105</v>
      </c>
    </row>
    <row r="87" spans="1:38" hidden="1">
      <c r="A87" s="35" t="s">
        <v>243</v>
      </c>
      <c r="B87" s="35" t="s">
        <v>244</v>
      </c>
      <c r="C87" s="36" t="s">
        <v>183</v>
      </c>
      <c r="D87" s="35"/>
      <c r="E87" s="37" t="b">
        <v>0</v>
      </c>
      <c r="F87" s="37" t="b">
        <v>1</v>
      </c>
      <c r="G87" s="37"/>
      <c r="H87" s="35"/>
      <c r="I87" s="37">
        <v>0</v>
      </c>
      <c r="J87" s="37"/>
      <c r="K87" s="36" t="s">
        <v>101</v>
      </c>
      <c r="L87" s="37">
        <v>0</v>
      </c>
      <c r="M87" s="35"/>
      <c r="N87" s="35"/>
      <c r="O87" s="36" t="s">
        <v>102</v>
      </c>
      <c r="P87" s="37" t="b">
        <v>0</v>
      </c>
      <c r="Q87" s="37">
        <v>0</v>
      </c>
      <c r="R87" s="37">
        <v>0</v>
      </c>
      <c r="S87" s="37" t="b">
        <v>0</v>
      </c>
      <c r="T87" s="35"/>
      <c r="U87" s="37">
        <v>0</v>
      </c>
      <c r="V87" s="35"/>
      <c r="W87" s="35"/>
      <c r="X87" s="35"/>
      <c r="Y87" s="35"/>
      <c r="Z87" s="38"/>
      <c r="AA87" s="36"/>
      <c r="AB87" s="39">
        <v>41493.464016203703</v>
      </c>
      <c r="AC87" s="40">
        <v>91</v>
      </c>
      <c r="AD87" s="36" t="s">
        <v>103</v>
      </c>
      <c r="AE87" s="35" t="s">
        <v>104</v>
      </c>
      <c r="AF87" s="35" t="s">
        <v>105</v>
      </c>
    </row>
    <row r="88" spans="1:38" hidden="1">
      <c r="A88" s="35"/>
      <c r="B88" s="35" t="s">
        <v>245</v>
      </c>
      <c r="C88" s="36" t="s">
        <v>183</v>
      </c>
      <c r="D88" s="35"/>
      <c r="E88" s="37" t="b">
        <v>1</v>
      </c>
      <c r="F88" s="37" t="b">
        <v>0</v>
      </c>
      <c r="G88" s="37"/>
      <c r="H88" s="35" t="s">
        <v>246</v>
      </c>
      <c r="I88" s="37">
        <v>0</v>
      </c>
      <c r="J88" s="37"/>
      <c r="K88" s="36" t="s">
        <v>101</v>
      </c>
      <c r="L88" s="37">
        <v>0</v>
      </c>
      <c r="M88" s="35"/>
      <c r="N88" s="35"/>
      <c r="O88" s="36" t="s">
        <v>102</v>
      </c>
      <c r="P88" s="37" t="b">
        <v>0</v>
      </c>
      <c r="Q88" s="37">
        <v>0</v>
      </c>
      <c r="R88" s="37">
        <v>0</v>
      </c>
      <c r="S88" s="37" t="b">
        <v>0</v>
      </c>
      <c r="T88" s="35"/>
      <c r="U88" s="37">
        <v>0</v>
      </c>
      <c r="V88" s="35"/>
      <c r="W88" s="35"/>
      <c r="X88" s="35"/>
      <c r="Y88" s="35"/>
      <c r="Z88" s="38"/>
      <c r="AA88" s="36"/>
      <c r="AB88" s="39">
        <v>41481.47283564815</v>
      </c>
      <c r="AC88" s="40">
        <v>92</v>
      </c>
      <c r="AD88" s="36" t="s">
        <v>103</v>
      </c>
      <c r="AE88" s="35" t="s">
        <v>104</v>
      </c>
      <c r="AF88" s="35" t="s">
        <v>105</v>
      </c>
    </row>
    <row r="89" spans="1:38">
      <c r="A89" s="35"/>
      <c r="B89" s="35" t="s">
        <v>247</v>
      </c>
      <c r="C89" s="36" t="s">
        <v>183</v>
      </c>
      <c r="D89" s="35"/>
      <c r="E89" s="37" t="b">
        <v>1</v>
      </c>
      <c r="F89" s="37" t="b">
        <v>0</v>
      </c>
      <c r="G89" s="37"/>
      <c r="H89" s="35" t="s">
        <v>248</v>
      </c>
      <c r="I89" s="37">
        <v>0</v>
      </c>
      <c r="J89" s="37"/>
      <c r="K89" s="36" t="s">
        <v>101</v>
      </c>
      <c r="L89" s="37">
        <v>0</v>
      </c>
      <c r="M89" s="35"/>
      <c r="N89" s="35"/>
      <c r="O89" s="36" t="s">
        <v>102</v>
      </c>
      <c r="P89" s="37" t="b">
        <v>0</v>
      </c>
      <c r="Q89" s="37">
        <v>200</v>
      </c>
      <c r="R89" s="37">
        <v>0</v>
      </c>
      <c r="S89" s="37" t="b">
        <v>0</v>
      </c>
      <c r="T89" s="35"/>
      <c r="U89" s="37">
        <v>0</v>
      </c>
      <c r="V89" s="35"/>
      <c r="W89" s="35"/>
      <c r="X89" s="35"/>
      <c r="Y89" s="35"/>
      <c r="Z89" s="38"/>
      <c r="AA89" s="36"/>
      <c r="AB89" s="39">
        <v>41481.47283564815</v>
      </c>
      <c r="AC89" s="40">
        <v>93</v>
      </c>
      <c r="AD89" s="36" t="s">
        <v>103</v>
      </c>
      <c r="AE89" s="35" t="s">
        <v>104</v>
      </c>
      <c r="AF89" s="35" t="s">
        <v>105</v>
      </c>
      <c r="AH89" s="34">
        <v>2</v>
      </c>
      <c r="AJ89" s="34">
        <v>200</v>
      </c>
      <c r="AK89" s="34">
        <v>0</v>
      </c>
      <c r="AL89" s="34" t="s">
        <v>548</v>
      </c>
    </row>
    <row r="90" spans="1:38" hidden="1">
      <c r="A90" s="35" t="s">
        <v>249</v>
      </c>
      <c r="B90" s="35" t="s">
        <v>250</v>
      </c>
      <c r="C90" s="36" t="s">
        <v>183</v>
      </c>
      <c r="D90" s="35"/>
      <c r="E90" s="37" t="b">
        <v>1</v>
      </c>
      <c r="F90" s="37" t="b">
        <v>0</v>
      </c>
      <c r="G90" s="37"/>
      <c r="H90" s="35" t="s">
        <v>251</v>
      </c>
      <c r="I90" s="37">
        <v>0</v>
      </c>
      <c r="J90" s="37"/>
      <c r="K90" s="36" t="s">
        <v>101</v>
      </c>
      <c r="L90" s="37">
        <v>0</v>
      </c>
      <c r="M90" s="35"/>
      <c r="N90" s="35"/>
      <c r="O90" s="36" t="s">
        <v>102</v>
      </c>
      <c r="P90" s="37" t="b">
        <v>0</v>
      </c>
      <c r="Q90" s="37">
        <v>0</v>
      </c>
      <c r="R90" s="37">
        <v>0</v>
      </c>
      <c r="S90" s="37" t="b">
        <v>0</v>
      </c>
      <c r="T90" s="35"/>
      <c r="U90" s="37">
        <v>0</v>
      </c>
      <c r="V90" s="35"/>
      <c r="W90" s="35"/>
      <c r="X90" s="35"/>
      <c r="Y90" s="35"/>
      <c r="Z90" s="38"/>
      <c r="AA90" s="36"/>
      <c r="AB90" s="39">
        <v>41493.515300925923</v>
      </c>
      <c r="AC90" s="40">
        <v>94</v>
      </c>
      <c r="AD90" s="36" t="s">
        <v>103</v>
      </c>
      <c r="AE90" s="35" t="s">
        <v>104</v>
      </c>
      <c r="AF90" s="35" t="s">
        <v>105</v>
      </c>
    </row>
    <row r="91" spans="1:38" hidden="1">
      <c r="A91" s="35"/>
      <c r="B91" s="35" t="s">
        <v>252</v>
      </c>
      <c r="C91" s="36" t="s">
        <v>183</v>
      </c>
      <c r="D91" s="35"/>
      <c r="E91" s="37" t="b">
        <v>1</v>
      </c>
      <c r="F91" s="37" t="b">
        <v>0</v>
      </c>
      <c r="G91" s="37"/>
      <c r="H91" s="35" t="s">
        <v>253</v>
      </c>
      <c r="I91" s="37">
        <v>0</v>
      </c>
      <c r="J91" s="37"/>
      <c r="K91" s="36" t="s">
        <v>101</v>
      </c>
      <c r="L91" s="37">
        <v>0</v>
      </c>
      <c r="M91" s="35"/>
      <c r="N91" s="35"/>
      <c r="O91" s="36" t="s">
        <v>102</v>
      </c>
      <c r="P91" s="37" t="b">
        <v>0</v>
      </c>
      <c r="Q91" s="37">
        <v>0</v>
      </c>
      <c r="R91" s="37">
        <v>0</v>
      </c>
      <c r="S91" s="37" t="b">
        <v>0</v>
      </c>
      <c r="T91" s="35"/>
      <c r="U91" s="37">
        <v>0</v>
      </c>
      <c r="V91" s="35"/>
      <c r="W91" s="35"/>
      <c r="X91" s="35"/>
      <c r="Y91" s="35"/>
      <c r="Z91" s="38"/>
      <c r="AA91" s="36"/>
      <c r="AB91" s="39">
        <v>41481.472858796296</v>
      </c>
      <c r="AC91" s="40">
        <v>95</v>
      </c>
      <c r="AD91" s="36" t="s">
        <v>103</v>
      </c>
      <c r="AE91" s="35" t="s">
        <v>104</v>
      </c>
      <c r="AF91" s="35" t="s">
        <v>105</v>
      </c>
    </row>
    <row r="92" spans="1:38" hidden="1">
      <c r="A92" s="35"/>
      <c r="B92" s="35" t="s">
        <v>254</v>
      </c>
      <c r="C92" s="36" t="s">
        <v>183</v>
      </c>
      <c r="D92" s="35"/>
      <c r="E92" s="37" t="b">
        <v>1</v>
      </c>
      <c r="F92" s="37" t="b">
        <v>0</v>
      </c>
      <c r="G92" s="37"/>
      <c r="H92" s="35"/>
      <c r="I92" s="37">
        <v>0</v>
      </c>
      <c r="J92" s="37"/>
      <c r="K92" s="36" t="s">
        <v>101</v>
      </c>
      <c r="L92" s="37">
        <v>0</v>
      </c>
      <c r="M92" s="35"/>
      <c r="N92" s="35"/>
      <c r="O92" s="36" t="s">
        <v>102</v>
      </c>
      <c r="P92" s="37" t="b">
        <v>0</v>
      </c>
      <c r="Q92" s="37">
        <v>0</v>
      </c>
      <c r="R92" s="37">
        <v>0</v>
      </c>
      <c r="S92" s="37" t="b">
        <v>0</v>
      </c>
      <c r="T92" s="35"/>
      <c r="U92" s="37">
        <v>0</v>
      </c>
      <c r="V92" s="35"/>
      <c r="W92" s="35"/>
      <c r="X92" s="35"/>
      <c r="Y92" s="35"/>
      <c r="Z92" s="38"/>
      <c r="AA92" s="36"/>
      <c r="AB92" s="39">
        <v>41481.472858796296</v>
      </c>
      <c r="AC92" s="40">
        <v>96</v>
      </c>
      <c r="AD92" s="36" t="s">
        <v>103</v>
      </c>
      <c r="AE92" s="35" t="s">
        <v>104</v>
      </c>
      <c r="AF92" s="35" t="s">
        <v>105</v>
      </c>
    </row>
    <row r="93" spans="1:38" hidden="1">
      <c r="A93" s="35"/>
      <c r="B93" s="35" t="s">
        <v>255</v>
      </c>
      <c r="C93" s="36" t="s">
        <v>183</v>
      </c>
      <c r="D93" s="35"/>
      <c r="E93" s="37" t="b">
        <v>1</v>
      </c>
      <c r="F93" s="37" t="b">
        <v>0</v>
      </c>
      <c r="G93" s="37"/>
      <c r="H93" s="35"/>
      <c r="I93" s="37">
        <v>0</v>
      </c>
      <c r="J93" s="37"/>
      <c r="K93" s="36" t="s">
        <v>101</v>
      </c>
      <c r="L93" s="37">
        <v>0</v>
      </c>
      <c r="M93" s="35"/>
      <c r="N93" s="35"/>
      <c r="O93" s="36" t="s">
        <v>102</v>
      </c>
      <c r="P93" s="37" t="b">
        <v>0</v>
      </c>
      <c r="Q93" s="37">
        <v>0</v>
      </c>
      <c r="R93" s="37">
        <v>0</v>
      </c>
      <c r="S93" s="37" t="b">
        <v>0</v>
      </c>
      <c r="T93" s="35"/>
      <c r="U93" s="37">
        <v>0</v>
      </c>
      <c r="V93" s="35"/>
      <c r="W93" s="35"/>
      <c r="X93" s="35"/>
      <c r="Y93" s="35"/>
      <c r="Z93" s="38"/>
      <c r="AA93" s="36"/>
      <c r="AB93" s="39">
        <v>41481.472858796296</v>
      </c>
      <c r="AC93" s="40">
        <v>97</v>
      </c>
      <c r="AD93" s="36" t="s">
        <v>103</v>
      </c>
      <c r="AE93" s="35" t="s">
        <v>104</v>
      </c>
      <c r="AF93" s="35" t="s">
        <v>105</v>
      </c>
    </row>
    <row r="94" spans="1:38" hidden="1">
      <c r="A94" s="35"/>
      <c r="B94" s="35" t="s">
        <v>256</v>
      </c>
      <c r="C94" s="36" t="s">
        <v>183</v>
      </c>
      <c r="D94" s="35"/>
      <c r="E94" s="37" t="b">
        <v>1</v>
      </c>
      <c r="F94" s="37" t="b">
        <v>0</v>
      </c>
      <c r="G94" s="37"/>
      <c r="H94" s="35"/>
      <c r="I94" s="37">
        <v>0</v>
      </c>
      <c r="J94" s="37"/>
      <c r="K94" s="36" t="s">
        <v>101</v>
      </c>
      <c r="L94" s="37">
        <v>0</v>
      </c>
      <c r="M94" s="35"/>
      <c r="N94" s="35"/>
      <c r="O94" s="36" t="s">
        <v>102</v>
      </c>
      <c r="P94" s="37" t="b">
        <v>0</v>
      </c>
      <c r="Q94" s="37">
        <v>0</v>
      </c>
      <c r="R94" s="37">
        <v>0</v>
      </c>
      <c r="S94" s="37" t="b">
        <v>0</v>
      </c>
      <c r="T94" s="35"/>
      <c r="U94" s="37">
        <v>0</v>
      </c>
      <c r="V94" s="35"/>
      <c r="W94" s="35"/>
      <c r="X94" s="35"/>
      <c r="Y94" s="35"/>
      <c r="Z94" s="38"/>
      <c r="AA94" s="36"/>
      <c r="AB94" s="39">
        <v>41481.472858796296</v>
      </c>
      <c r="AC94" s="40">
        <v>98</v>
      </c>
      <c r="AD94" s="36" t="s">
        <v>103</v>
      </c>
      <c r="AE94" s="35" t="s">
        <v>104</v>
      </c>
      <c r="AF94" s="35" t="s">
        <v>105</v>
      </c>
    </row>
    <row r="95" spans="1:38">
      <c r="A95" s="35"/>
      <c r="B95" s="35" t="s">
        <v>257</v>
      </c>
      <c r="C95" s="36" t="s">
        <v>183</v>
      </c>
      <c r="D95" s="35"/>
      <c r="E95" s="37" t="b">
        <v>1</v>
      </c>
      <c r="F95" s="37" t="b">
        <v>0</v>
      </c>
      <c r="G95" s="37"/>
      <c r="H95" s="35"/>
      <c r="I95" s="37">
        <v>5</v>
      </c>
      <c r="J95" s="37">
        <v>480</v>
      </c>
      <c r="K95" s="36" t="s">
        <v>138</v>
      </c>
      <c r="L95" s="37">
        <v>3.8</v>
      </c>
      <c r="M95" s="35"/>
      <c r="N95" s="35"/>
      <c r="O95" s="36" t="s">
        <v>110</v>
      </c>
      <c r="P95" s="37" t="b">
        <v>0</v>
      </c>
      <c r="Q95" s="37">
        <v>3.7284950000000001</v>
      </c>
      <c r="R95" s="37">
        <v>2.8336562000000001</v>
      </c>
      <c r="S95" s="37" t="b">
        <v>0</v>
      </c>
      <c r="T95" s="35"/>
      <c r="U95" s="37">
        <v>0</v>
      </c>
      <c r="V95" s="35"/>
      <c r="W95" s="35"/>
      <c r="X95" s="35"/>
      <c r="Y95" s="35"/>
      <c r="Z95" s="38"/>
      <c r="AA95" s="36"/>
      <c r="AB95" s="39">
        <v>41481.472858796296</v>
      </c>
      <c r="AC95" s="40">
        <v>186</v>
      </c>
      <c r="AD95" s="36" t="s">
        <v>103</v>
      </c>
      <c r="AE95" s="35" t="s">
        <v>104</v>
      </c>
      <c r="AF95" s="35" t="s">
        <v>105</v>
      </c>
      <c r="AJ95" s="34">
        <f>Table_owssvr_1[[#This Row],[Total Expected Load (kW)]]</f>
        <v>2.8336562000000001</v>
      </c>
      <c r="AK95" s="34">
        <f>Table_owssvr_1[[#This Row],[Total Expected Load (kW)]]</f>
        <v>2.8336562000000001</v>
      </c>
    </row>
    <row r="96" spans="1:38">
      <c r="A96" s="35"/>
      <c r="B96" s="35" t="s">
        <v>258</v>
      </c>
      <c r="C96" s="36" t="s">
        <v>183</v>
      </c>
      <c r="D96" s="35"/>
      <c r="E96" s="37" t="b">
        <v>1</v>
      </c>
      <c r="F96" s="37" t="b">
        <v>0</v>
      </c>
      <c r="G96" s="37"/>
      <c r="H96" s="35"/>
      <c r="I96" s="37">
        <v>5</v>
      </c>
      <c r="J96" s="37">
        <v>480</v>
      </c>
      <c r="K96" s="36" t="s">
        <v>138</v>
      </c>
      <c r="L96" s="37">
        <v>3.8</v>
      </c>
      <c r="M96" s="35"/>
      <c r="N96" s="35"/>
      <c r="O96" s="36" t="s">
        <v>102</v>
      </c>
      <c r="P96" s="37" t="b">
        <v>0</v>
      </c>
      <c r="Q96" s="37">
        <v>3.7284950000000001</v>
      </c>
      <c r="R96" s="37">
        <v>2.8336562000000001</v>
      </c>
      <c r="S96" s="37" t="b">
        <v>0</v>
      </c>
      <c r="T96" s="35"/>
      <c r="U96" s="37">
        <v>0</v>
      </c>
      <c r="V96" s="35"/>
      <c r="W96" s="35"/>
      <c r="X96" s="35"/>
      <c r="Y96" s="35"/>
      <c r="Z96" s="38"/>
      <c r="AA96" s="36"/>
      <c r="AB96" s="39">
        <v>41481.472858796296</v>
      </c>
      <c r="AC96" s="40">
        <v>189</v>
      </c>
      <c r="AD96" s="36" t="s">
        <v>103</v>
      </c>
      <c r="AE96" s="35" t="s">
        <v>104</v>
      </c>
      <c r="AF96" s="35" t="s">
        <v>105</v>
      </c>
      <c r="AJ96" s="34">
        <f>Table_owssvr_1[[#This Row],[Total Expected Load (kW)]]</f>
        <v>2.8336562000000001</v>
      </c>
      <c r="AK96" s="34">
        <f>Table_owssvr_1[[#This Row],[Total Expected Load (kW)]]</f>
        <v>2.8336562000000001</v>
      </c>
    </row>
    <row r="97" spans="1:37">
      <c r="A97" s="35"/>
      <c r="B97" s="35" t="s">
        <v>259</v>
      </c>
      <c r="C97" s="36" t="s">
        <v>183</v>
      </c>
      <c r="D97" s="35"/>
      <c r="E97" s="37" t="b">
        <v>1</v>
      </c>
      <c r="F97" s="37" t="b">
        <v>0</v>
      </c>
      <c r="G97" s="37"/>
      <c r="H97" s="35"/>
      <c r="I97" s="37">
        <v>5</v>
      </c>
      <c r="J97" s="37">
        <v>480</v>
      </c>
      <c r="K97" s="36" t="s">
        <v>138</v>
      </c>
      <c r="L97" s="37">
        <v>3.8</v>
      </c>
      <c r="M97" s="35"/>
      <c r="N97" s="35"/>
      <c r="O97" s="36" t="s">
        <v>110</v>
      </c>
      <c r="P97" s="37" t="b">
        <v>0</v>
      </c>
      <c r="Q97" s="37">
        <v>3.7284950000000001</v>
      </c>
      <c r="R97" s="37">
        <v>2.8336562000000001</v>
      </c>
      <c r="S97" s="37" t="b">
        <v>0</v>
      </c>
      <c r="T97" s="35"/>
      <c r="U97" s="37">
        <v>0</v>
      </c>
      <c r="V97" s="35"/>
      <c r="W97" s="35"/>
      <c r="X97" s="35"/>
      <c r="Y97" s="35"/>
      <c r="Z97" s="38"/>
      <c r="AA97" s="36"/>
      <c r="AB97" s="39">
        <v>41481.472858796296</v>
      </c>
      <c r="AC97" s="40">
        <v>190</v>
      </c>
      <c r="AD97" s="36" t="s">
        <v>103</v>
      </c>
      <c r="AE97" s="35" t="s">
        <v>104</v>
      </c>
      <c r="AF97" s="35" t="s">
        <v>105</v>
      </c>
      <c r="AJ97" s="34">
        <f>Table_owssvr_1[[#This Row],[Total Expected Load (kW)]]</f>
        <v>2.8336562000000001</v>
      </c>
      <c r="AK97" s="34">
        <f>Table_owssvr_1[[#This Row],[Total Expected Load (kW)]]</f>
        <v>2.8336562000000001</v>
      </c>
    </row>
    <row r="98" spans="1:37">
      <c r="A98" s="35"/>
      <c r="B98" s="35" t="s">
        <v>258</v>
      </c>
      <c r="C98" s="36" t="s">
        <v>183</v>
      </c>
      <c r="D98" s="35"/>
      <c r="E98" s="37" t="b">
        <v>1</v>
      </c>
      <c r="F98" s="37" t="b">
        <v>0</v>
      </c>
      <c r="G98" s="37"/>
      <c r="H98" s="35"/>
      <c r="I98" s="37">
        <v>5</v>
      </c>
      <c r="J98" s="37">
        <v>480</v>
      </c>
      <c r="K98" s="36" t="s">
        <v>138</v>
      </c>
      <c r="L98" s="37">
        <v>3.8</v>
      </c>
      <c r="M98" s="35"/>
      <c r="N98" s="35"/>
      <c r="O98" s="36" t="s">
        <v>110</v>
      </c>
      <c r="P98" s="37" t="b">
        <v>0</v>
      </c>
      <c r="Q98" s="37">
        <v>3.7284950000000001</v>
      </c>
      <c r="R98" s="37">
        <v>2.8336562000000001</v>
      </c>
      <c r="S98" s="37" t="b">
        <v>0</v>
      </c>
      <c r="T98" s="35"/>
      <c r="U98" s="37">
        <v>0</v>
      </c>
      <c r="V98" s="35"/>
      <c r="W98" s="35"/>
      <c r="X98" s="35"/>
      <c r="Y98" s="35"/>
      <c r="Z98" s="38"/>
      <c r="AA98" s="36"/>
      <c r="AB98" s="39">
        <v>41481.472858796296</v>
      </c>
      <c r="AC98" s="40">
        <v>191</v>
      </c>
      <c r="AD98" s="36" t="s">
        <v>103</v>
      </c>
      <c r="AE98" s="35" t="s">
        <v>104</v>
      </c>
      <c r="AF98" s="35" t="s">
        <v>105</v>
      </c>
      <c r="AJ98" s="34">
        <f>Table_owssvr_1[[#This Row],[Total Expected Load (kW)]]</f>
        <v>2.8336562000000001</v>
      </c>
      <c r="AK98" s="34">
        <f>Table_owssvr_1[[#This Row],[Total Expected Load (kW)]]</f>
        <v>2.8336562000000001</v>
      </c>
    </row>
    <row r="99" spans="1:37">
      <c r="A99" s="35"/>
      <c r="B99" s="35" t="s">
        <v>260</v>
      </c>
      <c r="C99" s="36" t="s">
        <v>183</v>
      </c>
      <c r="D99" s="35"/>
      <c r="E99" s="37" t="b">
        <v>1</v>
      </c>
      <c r="F99" s="37" t="b">
        <v>0</v>
      </c>
      <c r="G99" s="37"/>
      <c r="H99" s="35"/>
      <c r="I99" s="37">
        <v>5</v>
      </c>
      <c r="J99" s="37">
        <v>480</v>
      </c>
      <c r="K99" s="36" t="s">
        <v>138</v>
      </c>
      <c r="L99" s="37">
        <v>3.8</v>
      </c>
      <c r="M99" s="35"/>
      <c r="N99" s="35"/>
      <c r="O99" s="36" t="s">
        <v>110</v>
      </c>
      <c r="P99" s="37" t="b">
        <v>0</v>
      </c>
      <c r="Q99" s="37">
        <v>3.7284950000000001</v>
      </c>
      <c r="R99" s="37">
        <v>2.8336562000000001</v>
      </c>
      <c r="S99" s="37" t="b">
        <v>0</v>
      </c>
      <c r="T99" s="35"/>
      <c r="U99" s="37">
        <v>0</v>
      </c>
      <c r="V99" s="35"/>
      <c r="W99" s="35"/>
      <c r="X99" s="35"/>
      <c r="Y99" s="35"/>
      <c r="Z99" s="38"/>
      <c r="AA99" s="36"/>
      <c r="AB99" s="39">
        <v>41481.472870370373</v>
      </c>
      <c r="AC99" s="40">
        <v>192</v>
      </c>
      <c r="AD99" s="36" t="s">
        <v>103</v>
      </c>
      <c r="AE99" s="35" t="s">
        <v>104</v>
      </c>
      <c r="AF99" s="35" t="s">
        <v>105</v>
      </c>
      <c r="AJ99" s="34">
        <f>Table_owssvr_1[[#This Row],[Total Expected Load (kW)]]</f>
        <v>2.8336562000000001</v>
      </c>
      <c r="AK99" s="34">
        <f>Table_owssvr_1[[#This Row],[Total Expected Load (kW)]]</f>
        <v>2.8336562000000001</v>
      </c>
    </row>
    <row r="100" spans="1:37">
      <c r="A100" s="35"/>
      <c r="B100" s="35" t="s">
        <v>261</v>
      </c>
      <c r="C100" s="36" t="s">
        <v>183</v>
      </c>
      <c r="D100" s="35"/>
      <c r="E100" s="37" t="b">
        <v>1</v>
      </c>
      <c r="F100" s="37" t="b">
        <v>0</v>
      </c>
      <c r="G100" s="37"/>
      <c r="H100" s="35"/>
      <c r="I100" s="37">
        <v>5</v>
      </c>
      <c r="J100" s="37">
        <v>480</v>
      </c>
      <c r="K100" s="36" t="s">
        <v>138</v>
      </c>
      <c r="L100" s="37">
        <v>3.8</v>
      </c>
      <c r="M100" s="35"/>
      <c r="N100" s="35"/>
      <c r="O100" s="36" t="s">
        <v>110</v>
      </c>
      <c r="P100" s="37" t="b">
        <v>0</v>
      </c>
      <c r="Q100" s="37">
        <v>3.7284950000000001</v>
      </c>
      <c r="R100" s="37">
        <v>2.8336562000000001</v>
      </c>
      <c r="S100" s="37" t="b">
        <v>0</v>
      </c>
      <c r="T100" s="35"/>
      <c r="U100" s="37">
        <v>0</v>
      </c>
      <c r="V100" s="35"/>
      <c r="W100" s="35"/>
      <c r="X100" s="35"/>
      <c r="Y100" s="35"/>
      <c r="Z100" s="38"/>
      <c r="AA100" s="36"/>
      <c r="AB100" s="39">
        <v>41481.472870370373</v>
      </c>
      <c r="AC100" s="40">
        <v>193</v>
      </c>
      <c r="AD100" s="36" t="s">
        <v>103</v>
      </c>
      <c r="AE100" s="35" t="s">
        <v>104</v>
      </c>
      <c r="AF100" s="35" t="s">
        <v>105</v>
      </c>
      <c r="AJ100" s="34">
        <f>Table_owssvr_1[[#This Row],[Total Expected Load (kW)]]</f>
        <v>2.8336562000000001</v>
      </c>
      <c r="AK100" s="34">
        <f>Table_owssvr_1[[#This Row],[Total Expected Load (kW)]]</f>
        <v>2.8336562000000001</v>
      </c>
    </row>
    <row r="101" spans="1:37">
      <c r="A101" s="35"/>
      <c r="B101" s="35" t="s">
        <v>262</v>
      </c>
      <c r="C101" s="36" t="s">
        <v>183</v>
      </c>
      <c r="D101" s="35"/>
      <c r="E101" s="37" t="b">
        <v>1</v>
      </c>
      <c r="F101" s="37" t="b">
        <v>0</v>
      </c>
      <c r="G101" s="37"/>
      <c r="H101" s="35"/>
      <c r="I101" s="37">
        <v>5</v>
      </c>
      <c r="J101" s="37">
        <v>480</v>
      </c>
      <c r="K101" s="36" t="s">
        <v>138</v>
      </c>
      <c r="L101" s="37">
        <v>3.8</v>
      </c>
      <c r="M101" s="35"/>
      <c r="N101" s="35"/>
      <c r="O101" s="36" t="s">
        <v>110</v>
      </c>
      <c r="P101" s="37" t="b">
        <v>0</v>
      </c>
      <c r="Q101" s="37">
        <v>3.7284950000000001</v>
      </c>
      <c r="R101" s="37">
        <v>2.8336562000000001</v>
      </c>
      <c r="S101" s="37" t="b">
        <v>0</v>
      </c>
      <c r="T101" s="35"/>
      <c r="U101" s="37">
        <v>0</v>
      </c>
      <c r="V101" s="35"/>
      <c r="W101" s="35"/>
      <c r="X101" s="35"/>
      <c r="Y101" s="35"/>
      <c r="Z101" s="38"/>
      <c r="AA101" s="36"/>
      <c r="AB101" s="39">
        <v>41481.472870370373</v>
      </c>
      <c r="AC101" s="40">
        <v>194</v>
      </c>
      <c r="AD101" s="36" t="s">
        <v>103</v>
      </c>
      <c r="AE101" s="35" t="s">
        <v>104</v>
      </c>
      <c r="AF101" s="35" t="s">
        <v>105</v>
      </c>
      <c r="AJ101" s="34">
        <f>Table_owssvr_1[[#This Row],[Total Expected Load (kW)]]</f>
        <v>2.8336562000000001</v>
      </c>
      <c r="AK101" s="34">
        <f>Table_owssvr_1[[#This Row],[Total Expected Load (kW)]]</f>
        <v>2.8336562000000001</v>
      </c>
    </row>
    <row r="102" spans="1:37">
      <c r="A102" s="35"/>
      <c r="B102" s="35" t="s">
        <v>263</v>
      </c>
      <c r="C102" s="36" t="s">
        <v>183</v>
      </c>
      <c r="D102" s="35"/>
      <c r="E102" s="37" t="b">
        <v>0</v>
      </c>
      <c r="F102" s="37" t="b">
        <v>1</v>
      </c>
      <c r="G102" s="37"/>
      <c r="H102" s="35"/>
      <c r="I102" s="37">
        <v>5</v>
      </c>
      <c r="J102" s="37">
        <v>480</v>
      </c>
      <c r="K102" s="36" t="s">
        <v>138</v>
      </c>
      <c r="L102" s="37">
        <v>3.8</v>
      </c>
      <c r="M102" s="35"/>
      <c r="N102" s="35"/>
      <c r="O102" s="36" t="s">
        <v>110</v>
      </c>
      <c r="P102" s="37" t="b">
        <v>0</v>
      </c>
      <c r="Q102" s="37">
        <v>3.7284950000000001</v>
      </c>
      <c r="R102" s="37">
        <v>2.8336562000000001</v>
      </c>
      <c r="S102" s="37" t="b">
        <v>0</v>
      </c>
      <c r="T102" s="35"/>
      <c r="U102" s="37">
        <v>0</v>
      </c>
      <c r="V102" s="35"/>
      <c r="W102" s="35"/>
      <c r="X102" s="35"/>
      <c r="Y102" s="35"/>
      <c r="Z102" s="38"/>
      <c r="AA102" s="36"/>
      <c r="AB102" s="39">
        <v>41481.472870370373</v>
      </c>
      <c r="AC102" s="40">
        <v>195</v>
      </c>
      <c r="AD102" s="36" t="s">
        <v>103</v>
      </c>
      <c r="AE102" s="35" t="s">
        <v>104</v>
      </c>
      <c r="AF102" s="35" t="s">
        <v>105</v>
      </c>
      <c r="AJ102" s="34">
        <f>Table_owssvr_1[[#This Row],[Total Expected Load (kW)]]</f>
        <v>2.8336562000000001</v>
      </c>
      <c r="AK102" s="34">
        <f>Table_owssvr_1[[#This Row],[Total Expected Load (kW)]]</f>
        <v>2.8336562000000001</v>
      </c>
    </row>
    <row r="103" spans="1:37">
      <c r="A103" s="35"/>
      <c r="B103" s="35" t="s">
        <v>264</v>
      </c>
      <c r="C103" s="36" t="s">
        <v>183</v>
      </c>
      <c r="D103" s="35"/>
      <c r="E103" s="37" t="b">
        <v>1</v>
      </c>
      <c r="F103" s="37" t="b">
        <v>0</v>
      </c>
      <c r="G103" s="37"/>
      <c r="H103" s="35"/>
      <c r="I103" s="37">
        <v>2</v>
      </c>
      <c r="J103" s="37">
        <v>480</v>
      </c>
      <c r="K103" s="36" t="s">
        <v>138</v>
      </c>
      <c r="L103" s="37">
        <v>1.7</v>
      </c>
      <c r="M103" s="35"/>
      <c r="N103" s="35"/>
      <c r="O103" s="36" t="s">
        <v>110</v>
      </c>
      <c r="P103" s="37" t="b">
        <v>0</v>
      </c>
      <c r="Q103" s="37">
        <v>1.491398</v>
      </c>
      <c r="R103" s="37">
        <v>1.2676883000000001</v>
      </c>
      <c r="S103" s="37" t="b">
        <v>0</v>
      </c>
      <c r="T103" s="35"/>
      <c r="U103" s="37">
        <v>0</v>
      </c>
      <c r="V103" s="35"/>
      <c r="W103" s="35"/>
      <c r="X103" s="35"/>
      <c r="Y103" s="35"/>
      <c r="Z103" s="38"/>
      <c r="AA103" s="36"/>
      <c r="AB103" s="39">
        <v>41481.472870370373</v>
      </c>
      <c r="AC103" s="40">
        <v>196</v>
      </c>
      <c r="AD103" s="36" t="s">
        <v>103</v>
      </c>
      <c r="AE103" s="35" t="s">
        <v>104</v>
      </c>
      <c r="AF103" s="35" t="s">
        <v>105</v>
      </c>
      <c r="AJ103" s="34">
        <f>Table_owssvr_1[[#This Row],[Total Expected Load (kW)]]</f>
        <v>1.2676883000000001</v>
      </c>
      <c r="AK103" s="34">
        <f>Table_owssvr_1[[#This Row],[Total Expected Load (kW)]]</f>
        <v>1.2676883000000001</v>
      </c>
    </row>
    <row r="104" spans="1:37">
      <c r="A104" s="35"/>
      <c r="B104" s="35" t="s">
        <v>265</v>
      </c>
      <c r="C104" s="36" t="s">
        <v>183</v>
      </c>
      <c r="D104" s="35"/>
      <c r="E104" s="37" t="b">
        <v>1</v>
      </c>
      <c r="F104" s="37" t="b">
        <v>0</v>
      </c>
      <c r="G104" s="37"/>
      <c r="H104" s="35"/>
      <c r="I104" s="37">
        <v>2</v>
      </c>
      <c r="J104" s="37">
        <v>480</v>
      </c>
      <c r="K104" s="36" t="s">
        <v>138</v>
      </c>
      <c r="L104" s="37">
        <v>1.7</v>
      </c>
      <c r="M104" s="35"/>
      <c r="N104" s="35"/>
      <c r="O104" s="36" t="s">
        <v>110</v>
      </c>
      <c r="P104" s="37" t="b">
        <v>0</v>
      </c>
      <c r="Q104" s="37">
        <v>1.491398</v>
      </c>
      <c r="R104" s="37">
        <v>1.2676883000000001</v>
      </c>
      <c r="S104" s="37" t="b">
        <v>0</v>
      </c>
      <c r="T104" s="35"/>
      <c r="U104" s="37">
        <v>0</v>
      </c>
      <c r="V104" s="35"/>
      <c r="W104" s="35"/>
      <c r="X104" s="35"/>
      <c r="Y104" s="35"/>
      <c r="Z104" s="38"/>
      <c r="AA104" s="36"/>
      <c r="AB104" s="39">
        <v>41481.472870370373</v>
      </c>
      <c r="AC104" s="40">
        <v>197</v>
      </c>
      <c r="AD104" s="36" t="s">
        <v>103</v>
      </c>
      <c r="AE104" s="35" t="s">
        <v>104</v>
      </c>
      <c r="AF104" s="35" t="s">
        <v>105</v>
      </c>
      <c r="AJ104" s="34">
        <f>Table_owssvr_1[[#This Row],[Total Expected Load (kW)]]</f>
        <v>1.2676883000000001</v>
      </c>
      <c r="AK104" s="34">
        <f>Table_owssvr_1[[#This Row],[Total Expected Load (kW)]]</f>
        <v>1.2676883000000001</v>
      </c>
    </row>
    <row r="105" spans="1:37">
      <c r="A105" s="35"/>
      <c r="B105" s="35" t="s">
        <v>266</v>
      </c>
      <c r="C105" s="36" t="s">
        <v>183</v>
      </c>
      <c r="D105" s="35"/>
      <c r="E105" s="37" t="b">
        <v>1</v>
      </c>
      <c r="F105" s="37" t="b">
        <v>0</v>
      </c>
      <c r="G105" s="37"/>
      <c r="H105" s="35"/>
      <c r="I105" s="37">
        <v>2</v>
      </c>
      <c r="J105" s="37">
        <v>480</v>
      </c>
      <c r="K105" s="36" t="s">
        <v>138</v>
      </c>
      <c r="L105" s="37">
        <v>1.7</v>
      </c>
      <c r="M105" s="35"/>
      <c r="N105" s="35"/>
      <c r="O105" s="36" t="s">
        <v>110</v>
      </c>
      <c r="P105" s="37" t="b">
        <v>0</v>
      </c>
      <c r="Q105" s="37">
        <v>1.491398</v>
      </c>
      <c r="R105" s="37">
        <v>1.2676883000000001</v>
      </c>
      <c r="S105" s="37" t="b">
        <v>0</v>
      </c>
      <c r="T105" s="35"/>
      <c r="U105" s="37">
        <v>0</v>
      </c>
      <c r="V105" s="35"/>
      <c r="W105" s="35"/>
      <c r="X105" s="35"/>
      <c r="Y105" s="35"/>
      <c r="Z105" s="38"/>
      <c r="AA105" s="36"/>
      <c r="AB105" s="39">
        <v>41481.472870370373</v>
      </c>
      <c r="AC105" s="40">
        <v>198</v>
      </c>
      <c r="AD105" s="36" t="s">
        <v>103</v>
      </c>
      <c r="AE105" s="35" t="s">
        <v>104</v>
      </c>
      <c r="AF105" s="35" t="s">
        <v>105</v>
      </c>
      <c r="AJ105" s="34">
        <f>Table_owssvr_1[[#This Row],[Total Expected Load (kW)]]</f>
        <v>1.2676883000000001</v>
      </c>
      <c r="AK105" s="34">
        <f>Table_owssvr_1[[#This Row],[Total Expected Load (kW)]]</f>
        <v>1.2676883000000001</v>
      </c>
    </row>
    <row r="106" spans="1:37">
      <c r="A106" s="35"/>
      <c r="B106" s="35" t="s">
        <v>267</v>
      </c>
      <c r="C106" s="36" t="s">
        <v>183</v>
      </c>
      <c r="D106" s="35"/>
      <c r="E106" s="37" t="b">
        <v>1</v>
      </c>
      <c r="F106" s="37" t="b">
        <v>0</v>
      </c>
      <c r="G106" s="37"/>
      <c r="H106" s="35"/>
      <c r="I106" s="37">
        <v>7.5</v>
      </c>
      <c r="J106" s="37">
        <v>480</v>
      </c>
      <c r="K106" s="36" t="s">
        <v>138</v>
      </c>
      <c r="L106" s="37">
        <v>5.9</v>
      </c>
      <c r="M106" s="35"/>
      <c r="N106" s="35"/>
      <c r="O106" s="36" t="s">
        <v>110</v>
      </c>
      <c r="P106" s="37" t="b">
        <v>0</v>
      </c>
      <c r="Q106" s="37">
        <v>5.5927424999999999</v>
      </c>
      <c r="R106" s="37">
        <v>4.3996240999999996</v>
      </c>
      <c r="S106" s="37" t="b">
        <v>0</v>
      </c>
      <c r="T106" s="35"/>
      <c r="U106" s="37">
        <v>0</v>
      </c>
      <c r="V106" s="35"/>
      <c r="W106" s="35"/>
      <c r="X106" s="35"/>
      <c r="Y106" s="35"/>
      <c r="Z106" s="38"/>
      <c r="AA106" s="36"/>
      <c r="AB106" s="39">
        <v>41481.472870370373</v>
      </c>
      <c r="AC106" s="40">
        <v>199</v>
      </c>
      <c r="AD106" s="36" t="s">
        <v>103</v>
      </c>
      <c r="AE106" s="35" t="s">
        <v>104</v>
      </c>
      <c r="AF106" s="35" t="s">
        <v>105</v>
      </c>
      <c r="AJ106" s="34">
        <f>Table_owssvr_1[[#This Row],[Total Expected Load (kW)]]</f>
        <v>4.3996240999999996</v>
      </c>
      <c r="AK106" s="34">
        <f>Table_owssvr_1[[#This Row],[Total Expected Load (kW)]]</f>
        <v>4.3996240999999996</v>
      </c>
    </row>
    <row r="107" spans="1:37">
      <c r="A107" s="35"/>
      <c r="B107" s="35" t="s">
        <v>268</v>
      </c>
      <c r="C107" s="36" t="s">
        <v>183</v>
      </c>
      <c r="D107" s="35"/>
      <c r="E107" s="37" t="b">
        <v>1</v>
      </c>
      <c r="F107" s="37" t="b">
        <v>0</v>
      </c>
      <c r="G107" s="37"/>
      <c r="H107" s="35"/>
      <c r="I107" s="37">
        <v>7.5</v>
      </c>
      <c r="J107" s="37">
        <v>480</v>
      </c>
      <c r="K107" s="36" t="s">
        <v>138</v>
      </c>
      <c r="L107" s="37">
        <v>5.9</v>
      </c>
      <c r="M107" s="35"/>
      <c r="N107" s="35"/>
      <c r="O107" s="36" t="s">
        <v>110</v>
      </c>
      <c r="P107" s="37" t="b">
        <v>0</v>
      </c>
      <c r="Q107" s="37">
        <v>5.5927424999999999</v>
      </c>
      <c r="R107" s="37">
        <v>4.3996240999999996</v>
      </c>
      <c r="S107" s="37" t="b">
        <v>0</v>
      </c>
      <c r="T107" s="35"/>
      <c r="U107" s="37">
        <v>0</v>
      </c>
      <c r="V107" s="35"/>
      <c r="W107" s="35"/>
      <c r="X107" s="35"/>
      <c r="Y107" s="35"/>
      <c r="Z107" s="38"/>
      <c r="AA107" s="36"/>
      <c r="AB107" s="39">
        <v>41481.472870370373</v>
      </c>
      <c r="AC107" s="40">
        <v>200</v>
      </c>
      <c r="AD107" s="36" t="s">
        <v>103</v>
      </c>
      <c r="AE107" s="35" t="s">
        <v>104</v>
      </c>
      <c r="AF107" s="35" t="s">
        <v>105</v>
      </c>
      <c r="AJ107" s="34">
        <f>Table_owssvr_1[[#This Row],[Total Expected Load (kW)]]</f>
        <v>4.3996240999999996</v>
      </c>
      <c r="AK107" s="34">
        <f>Table_owssvr_1[[#This Row],[Total Expected Load (kW)]]</f>
        <v>4.3996240999999996</v>
      </c>
    </row>
    <row r="108" spans="1:37" s="46" customFormat="1">
      <c r="A108" s="98"/>
      <c r="B108" s="98" t="s">
        <v>627</v>
      </c>
      <c r="C108" s="99" t="s">
        <v>183</v>
      </c>
      <c r="D108" s="98"/>
      <c r="E108" s="97" t="b">
        <v>1</v>
      </c>
      <c r="F108" s="97" t="b">
        <v>0</v>
      </c>
      <c r="G108" s="97"/>
      <c r="H108" s="98"/>
      <c r="I108" s="97">
        <v>7.5</v>
      </c>
      <c r="J108" s="97">
        <v>480</v>
      </c>
      <c r="K108" s="99" t="s">
        <v>138</v>
      </c>
      <c r="L108" s="97">
        <v>5.9</v>
      </c>
      <c r="M108" s="98"/>
      <c r="N108" s="98"/>
      <c r="O108" s="99" t="s">
        <v>110</v>
      </c>
      <c r="P108" s="97" t="b">
        <v>0</v>
      </c>
      <c r="Q108" s="97">
        <v>5.5927424999999999</v>
      </c>
      <c r="R108" s="97">
        <v>4.3996240999999996</v>
      </c>
      <c r="S108" s="97" t="b">
        <v>0</v>
      </c>
      <c r="T108" s="98"/>
      <c r="U108" s="97">
        <v>0</v>
      </c>
      <c r="V108" s="98"/>
      <c r="W108" s="98"/>
      <c r="X108" s="98"/>
      <c r="Y108" s="98"/>
      <c r="Z108" s="100"/>
      <c r="AA108" s="99"/>
      <c r="AB108" s="101">
        <v>41481.472870370373</v>
      </c>
      <c r="AC108" s="102">
        <v>200</v>
      </c>
      <c r="AD108" s="99" t="s">
        <v>103</v>
      </c>
      <c r="AE108" s="98" t="s">
        <v>104</v>
      </c>
      <c r="AF108" s="98" t="s">
        <v>105</v>
      </c>
      <c r="AJ108" s="46">
        <f>Table_owssvr_1[[#This Row],[Total Expected Load (kW)]]</f>
        <v>4.3996240999999996</v>
      </c>
      <c r="AK108" s="46">
        <f>Table_owssvr_1[[#This Row],[Total Expected Load (kW)]]</f>
        <v>4.3996240999999996</v>
      </c>
    </row>
    <row r="109" spans="1:37" s="46" customFormat="1">
      <c r="A109" s="98"/>
      <c r="B109" s="98" t="s">
        <v>627</v>
      </c>
      <c r="C109" s="99" t="s">
        <v>183</v>
      </c>
      <c r="D109" s="98"/>
      <c r="E109" s="97" t="b">
        <v>1</v>
      </c>
      <c r="F109" s="97" t="b">
        <v>0</v>
      </c>
      <c r="G109" s="97"/>
      <c r="H109" s="98"/>
      <c r="I109" s="97">
        <v>7.5</v>
      </c>
      <c r="J109" s="97">
        <v>480</v>
      </c>
      <c r="K109" s="99" t="s">
        <v>138</v>
      </c>
      <c r="L109" s="97">
        <v>5.9</v>
      </c>
      <c r="M109" s="98"/>
      <c r="N109" s="98"/>
      <c r="O109" s="99" t="s">
        <v>110</v>
      </c>
      <c r="P109" s="97" t="b">
        <v>0</v>
      </c>
      <c r="Q109" s="97">
        <v>5.5927424999999999</v>
      </c>
      <c r="R109" s="97">
        <v>4.3996240999999996</v>
      </c>
      <c r="S109" s="97" t="b">
        <v>0</v>
      </c>
      <c r="T109" s="98"/>
      <c r="U109" s="97">
        <v>0</v>
      </c>
      <c r="V109" s="98"/>
      <c r="W109" s="98"/>
      <c r="X109" s="98"/>
      <c r="Y109" s="98"/>
      <c r="Z109" s="100"/>
      <c r="AA109" s="99"/>
      <c r="AB109" s="101">
        <v>41481.472870370373</v>
      </c>
      <c r="AC109" s="102">
        <v>200</v>
      </c>
      <c r="AD109" s="99" t="s">
        <v>103</v>
      </c>
      <c r="AE109" s="98" t="s">
        <v>104</v>
      </c>
      <c r="AF109" s="98" t="s">
        <v>105</v>
      </c>
      <c r="AJ109" s="46">
        <f>Table_owssvr_1[[#This Row],[Total Expected Load (kW)]]</f>
        <v>4.3996240999999996</v>
      </c>
      <c r="AK109" s="46">
        <f>Table_owssvr_1[[#This Row],[Total Expected Load (kW)]]</f>
        <v>4.3996240999999996</v>
      </c>
    </row>
    <row r="110" spans="1:37">
      <c r="A110" s="35"/>
      <c r="B110" s="35" t="s">
        <v>269</v>
      </c>
      <c r="C110" s="36" t="s">
        <v>183</v>
      </c>
      <c r="D110" s="35"/>
      <c r="E110" s="37" t="b">
        <v>1</v>
      </c>
      <c r="F110" s="37" t="b">
        <v>0</v>
      </c>
      <c r="G110" s="37"/>
      <c r="H110" s="35"/>
      <c r="I110" s="37">
        <v>3</v>
      </c>
      <c r="J110" s="37">
        <v>480</v>
      </c>
      <c r="K110" s="36" t="s">
        <v>138</v>
      </c>
      <c r="L110" s="37">
        <v>2.4</v>
      </c>
      <c r="M110" s="35"/>
      <c r="N110" s="35"/>
      <c r="O110" s="36" t="s">
        <v>110</v>
      </c>
      <c r="P110" s="37" t="b">
        <v>0</v>
      </c>
      <c r="Q110" s="37">
        <v>2.2370969999999999</v>
      </c>
      <c r="R110" s="37">
        <v>1.7896776000000001</v>
      </c>
      <c r="S110" s="37" t="b">
        <v>0</v>
      </c>
      <c r="T110" s="35"/>
      <c r="U110" s="37">
        <v>0</v>
      </c>
      <c r="V110" s="35"/>
      <c r="W110" s="35"/>
      <c r="X110" s="35"/>
      <c r="Y110" s="35"/>
      <c r="Z110" s="38"/>
      <c r="AA110" s="36"/>
      <c r="AB110" s="39">
        <v>41481.472870370373</v>
      </c>
      <c r="AC110" s="40">
        <v>215</v>
      </c>
      <c r="AD110" s="36" t="s">
        <v>103</v>
      </c>
      <c r="AE110" s="35" t="s">
        <v>104</v>
      </c>
      <c r="AF110" s="35" t="s">
        <v>105</v>
      </c>
      <c r="AJ110" s="34">
        <f>Table_owssvr_1[[#This Row],[Total Expected Load (kW)]]</f>
        <v>1.7896776000000001</v>
      </c>
      <c r="AK110" s="34">
        <f>Table_owssvr_1[[#This Row],[Total Expected Load (kW)]]</f>
        <v>1.7896776000000001</v>
      </c>
    </row>
    <row r="111" spans="1:37">
      <c r="A111" s="35"/>
      <c r="B111" s="35" t="s">
        <v>270</v>
      </c>
      <c r="C111" s="36" t="s">
        <v>183</v>
      </c>
      <c r="D111" s="35"/>
      <c r="E111" s="37" t="b">
        <v>1</v>
      </c>
      <c r="F111" s="37" t="b">
        <v>0</v>
      </c>
      <c r="G111" s="37"/>
      <c r="H111" s="35"/>
      <c r="I111" s="37">
        <v>3</v>
      </c>
      <c r="J111" s="37">
        <v>480</v>
      </c>
      <c r="K111" s="36" t="s">
        <v>138</v>
      </c>
      <c r="L111" s="37">
        <v>2.4</v>
      </c>
      <c r="M111" s="35"/>
      <c r="N111" s="35"/>
      <c r="O111" s="36" t="s">
        <v>110</v>
      </c>
      <c r="P111" s="37" t="b">
        <v>0</v>
      </c>
      <c r="Q111" s="37">
        <v>2.2370969999999999</v>
      </c>
      <c r="R111" s="37">
        <v>1.7896776000000001</v>
      </c>
      <c r="S111" s="37" t="b">
        <v>0</v>
      </c>
      <c r="T111" s="35"/>
      <c r="U111" s="37">
        <v>0</v>
      </c>
      <c r="V111" s="35"/>
      <c r="W111" s="35"/>
      <c r="X111" s="35"/>
      <c r="Y111" s="35"/>
      <c r="Z111" s="38"/>
      <c r="AA111" s="36"/>
      <c r="AB111" s="39">
        <v>41481.472881944443</v>
      </c>
      <c r="AC111" s="40">
        <v>216</v>
      </c>
      <c r="AD111" s="36" t="s">
        <v>103</v>
      </c>
      <c r="AE111" s="35" t="s">
        <v>104</v>
      </c>
      <c r="AF111" s="35" t="s">
        <v>105</v>
      </c>
      <c r="AJ111" s="34">
        <f>Table_owssvr_1[[#This Row],[Total Expected Load (kW)]]</f>
        <v>1.7896776000000001</v>
      </c>
      <c r="AK111" s="34">
        <f>Table_owssvr_1[[#This Row],[Total Expected Load (kW)]]</f>
        <v>1.7896776000000001</v>
      </c>
    </row>
    <row r="112" spans="1:37">
      <c r="A112" s="35"/>
      <c r="B112" s="35" t="s">
        <v>271</v>
      </c>
      <c r="C112" s="36" t="s">
        <v>183</v>
      </c>
      <c r="D112" s="35"/>
      <c r="E112" s="37" t="b">
        <v>1</v>
      </c>
      <c r="F112" s="37" t="b">
        <v>0</v>
      </c>
      <c r="G112" s="37"/>
      <c r="H112" s="35"/>
      <c r="I112" s="37">
        <v>3</v>
      </c>
      <c r="J112" s="37">
        <v>480</v>
      </c>
      <c r="K112" s="36" t="s">
        <v>138</v>
      </c>
      <c r="L112" s="37">
        <v>2.4</v>
      </c>
      <c r="M112" s="35"/>
      <c r="N112" s="35"/>
      <c r="O112" s="36" t="s">
        <v>110</v>
      </c>
      <c r="P112" s="37" t="b">
        <v>0</v>
      </c>
      <c r="Q112" s="37">
        <v>2.2370969999999999</v>
      </c>
      <c r="R112" s="37">
        <v>1.7896776000000001</v>
      </c>
      <c r="S112" s="37" t="b">
        <v>0</v>
      </c>
      <c r="T112" s="35"/>
      <c r="U112" s="37">
        <v>0</v>
      </c>
      <c r="V112" s="35"/>
      <c r="W112" s="35"/>
      <c r="X112" s="35"/>
      <c r="Y112" s="35"/>
      <c r="Z112" s="38"/>
      <c r="AA112" s="36"/>
      <c r="AB112" s="39">
        <v>41481.472881944443</v>
      </c>
      <c r="AC112" s="40">
        <v>217</v>
      </c>
      <c r="AD112" s="36" t="s">
        <v>103</v>
      </c>
      <c r="AE112" s="35" t="s">
        <v>104</v>
      </c>
      <c r="AF112" s="35" t="s">
        <v>105</v>
      </c>
      <c r="AJ112" s="34">
        <f>Table_owssvr_1[[#This Row],[Total Expected Load (kW)]]</f>
        <v>1.7896776000000001</v>
      </c>
      <c r="AK112" s="34">
        <f>Table_owssvr_1[[#This Row],[Total Expected Load (kW)]]</f>
        <v>1.7896776000000001</v>
      </c>
    </row>
    <row r="113" spans="1:37">
      <c r="A113" s="35"/>
      <c r="B113" s="35" t="s">
        <v>272</v>
      </c>
      <c r="C113" s="36" t="s">
        <v>183</v>
      </c>
      <c r="D113" s="35"/>
      <c r="E113" s="37" t="b">
        <v>1</v>
      </c>
      <c r="F113" s="37" t="b">
        <v>0</v>
      </c>
      <c r="G113" s="37"/>
      <c r="H113" s="35"/>
      <c r="I113" s="37">
        <v>3</v>
      </c>
      <c r="J113" s="37">
        <v>480</v>
      </c>
      <c r="K113" s="36" t="s">
        <v>138</v>
      </c>
      <c r="L113" s="37">
        <v>2.4</v>
      </c>
      <c r="M113" s="35"/>
      <c r="N113" s="35"/>
      <c r="O113" s="36" t="s">
        <v>110</v>
      </c>
      <c r="P113" s="37" t="b">
        <v>0</v>
      </c>
      <c r="Q113" s="37">
        <v>2.2370969999999999</v>
      </c>
      <c r="R113" s="37">
        <v>1.7896776000000001</v>
      </c>
      <c r="S113" s="37" t="b">
        <v>0</v>
      </c>
      <c r="T113" s="35"/>
      <c r="U113" s="37">
        <v>0</v>
      </c>
      <c r="V113" s="35"/>
      <c r="W113" s="35"/>
      <c r="X113" s="35"/>
      <c r="Y113" s="35"/>
      <c r="Z113" s="38"/>
      <c r="AA113" s="36"/>
      <c r="AB113" s="39">
        <v>41481.472881944443</v>
      </c>
      <c r="AC113" s="40">
        <v>218</v>
      </c>
      <c r="AD113" s="36" t="s">
        <v>103</v>
      </c>
      <c r="AE113" s="35" t="s">
        <v>104</v>
      </c>
      <c r="AF113" s="35" t="s">
        <v>105</v>
      </c>
      <c r="AJ113" s="34">
        <f>Table_owssvr_1[[#This Row],[Total Expected Load (kW)]]</f>
        <v>1.7896776000000001</v>
      </c>
      <c r="AK113" s="34">
        <f>Table_owssvr_1[[#This Row],[Total Expected Load (kW)]]</f>
        <v>1.7896776000000001</v>
      </c>
    </row>
    <row r="114" spans="1:37">
      <c r="A114" s="35"/>
      <c r="B114" s="35" t="s">
        <v>273</v>
      </c>
      <c r="C114" s="36" t="s">
        <v>183</v>
      </c>
      <c r="D114" s="35"/>
      <c r="E114" s="37" t="b">
        <v>1</v>
      </c>
      <c r="F114" s="37" t="b">
        <v>0</v>
      </c>
      <c r="G114" s="37"/>
      <c r="H114" s="35"/>
      <c r="I114" s="37">
        <v>3</v>
      </c>
      <c r="J114" s="37">
        <v>480</v>
      </c>
      <c r="K114" s="36" t="s">
        <v>138</v>
      </c>
      <c r="L114" s="37">
        <v>2.4</v>
      </c>
      <c r="M114" s="35"/>
      <c r="N114" s="35"/>
      <c r="O114" s="36" t="s">
        <v>110</v>
      </c>
      <c r="P114" s="37" t="b">
        <v>0</v>
      </c>
      <c r="Q114" s="37">
        <v>2.2370969999999999</v>
      </c>
      <c r="R114" s="37">
        <v>1.7896776000000001</v>
      </c>
      <c r="S114" s="37" t="b">
        <v>0</v>
      </c>
      <c r="T114" s="35"/>
      <c r="U114" s="37">
        <v>0</v>
      </c>
      <c r="V114" s="35"/>
      <c r="W114" s="35"/>
      <c r="X114" s="35"/>
      <c r="Y114" s="35"/>
      <c r="Z114" s="38"/>
      <c r="AA114" s="36"/>
      <c r="AB114" s="39">
        <v>41481.472881944443</v>
      </c>
      <c r="AC114" s="40">
        <v>219</v>
      </c>
      <c r="AD114" s="36" t="s">
        <v>103</v>
      </c>
      <c r="AE114" s="35" t="s">
        <v>104</v>
      </c>
      <c r="AF114" s="35" t="s">
        <v>105</v>
      </c>
      <c r="AJ114" s="34">
        <f>Table_owssvr_1[[#This Row],[Total Expected Load (kW)]]</f>
        <v>1.7896776000000001</v>
      </c>
      <c r="AK114" s="34">
        <f>Table_owssvr_1[[#This Row],[Total Expected Load (kW)]]</f>
        <v>1.7896776000000001</v>
      </c>
    </row>
    <row r="115" spans="1:37">
      <c r="A115" s="35"/>
      <c r="B115" s="35" t="s">
        <v>274</v>
      </c>
      <c r="C115" s="36" t="s">
        <v>183</v>
      </c>
      <c r="D115" s="35"/>
      <c r="E115" s="37" t="b">
        <v>1</v>
      </c>
      <c r="F115" s="37" t="b">
        <v>0</v>
      </c>
      <c r="G115" s="37"/>
      <c r="H115" s="35"/>
      <c r="I115" s="37">
        <v>3</v>
      </c>
      <c r="J115" s="37">
        <v>480</v>
      </c>
      <c r="K115" s="36" t="s">
        <v>138</v>
      </c>
      <c r="L115" s="37">
        <v>2.4</v>
      </c>
      <c r="M115" s="35"/>
      <c r="N115" s="35"/>
      <c r="O115" s="36" t="s">
        <v>110</v>
      </c>
      <c r="P115" s="37" t="b">
        <v>0</v>
      </c>
      <c r="Q115" s="37">
        <v>2.2370969999999999</v>
      </c>
      <c r="R115" s="37">
        <v>1.7896776000000001</v>
      </c>
      <c r="S115" s="37" t="b">
        <v>0</v>
      </c>
      <c r="T115" s="35"/>
      <c r="U115" s="37">
        <v>0</v>
      </c>
      <c r="V115" s="35"/>
      <c r="W115" s="35"/>
      <c r="X115" s="35"/>
      <c r="Y115" s="35"/>
      <c r="Z115" s="38"/>
      <c r="AA115" s="36"/>
      <c r="AB115" s="39">
        <v>41481.472881944443</v>
      </c>
      <c r="AC115" s="40">
        <v>220</v>
      </c>
      <c r="AD115" s="36" t="s">
        <v>103</v>
      </c>
      <c r="AE115" s="35" t="s">
        <v>104</v>
      </c>
      <c r="AF115" s="35" t="s">
        <v>105</v>
      </c>
      <c r="AJ115" s="34">
        <f>Table_owssvr_1[[#This Row],[Total Expected Load (kW)]]</f>
        <v>1.7896776000000001</v>
      </c>
      <c r="AK115" s="34">
        <f>Table_owssvr_1[[#This Row],[Total Expected Load (kW)]]</f>
        <v>1.7896776000000001</v>
      </c>
    </row>
    <row r="116" spans="1:37">
      <c r="A116" s="35"/>
      <c r="B116" s="35" t="s">
        <v>275</v>
      </c>
      <c r="C116" s="36" t="s">
        <v>183</v>
      </c>
      <c r="D116" s="35"/>
      <c r="E116" s="37" t="b">
        <v>0</v>
      </c>
      <c r="F116" s="37" t="b">
        <v>1</v>
      </c>
      <c r="G116" s="37"/>
      <c r="H116" s="35"/>
      <c r="I116" s="37">
        <v>3</v>
      </c>
      <c r="J116" s="37">
        <v>480</v>
      </c>
      <c r="K116" s="36" t="s">
        <v>138</v>
      </c>
      <c r="L116" s="37">
        <v>2.4</v>
      </c>
      <c r="M116" s="35"/>
      <c r="N116" s="35"/>
      <c r="O116" s="36" t="s">
        <v>110</v>
      </c>
      <c r="P116" s="37" t="b">
        <v>0</v>
      </c>
      <c r="Q116" s="37">
        <v>2.2370969999999999</v>
      </c>
      <c r="R116" s="37">
        <v>1.7896776000000001</v>
      </c>
      <c r="S116" s="37" t="b">
        <v>0</v>
      </c>
      <c r="T116" s="35"/>
      <c r="U116" s="37">
        <v>0</v>
      </c>
      <c r="V116" s="35"/>
      <c r="W116" s="35"/>
      <c r="X116" s="35"/>
      <c r="Y116" s="35"/>
      <c r="Z116" s="38"/>
      <c r="AA116" s="36"/>
      <c r="AB116" s="39">
        <v>41481.472881944443</v>
      </c>
      <c r="AC116" s="40">
        <v>221</v>
      </c>
      <c r="AD116" s="36" t="s">
        <v>103</v>
      </c>
      <c r="AE116" s="35" t="s">
        <v>104</v>
      </c>
      <c r="AF116" s="35" t="s">
        <v>105</v>
      </c>
      <c r="AJ116" s="34">
        <f>Table_owssvr_1[[#This Row],[Total Expected Load (kW)]]</f>
        <v>1.7896776000000001</v>
      </c>
      <c r="AK116" s="34">
        <f>Table_owssvr_1[[#This Row],[Total Expected Load (kW)]]</f>
        <v>1.7896776000000001</v>
      </c>
    </row>
    <row r="117" spans="1:37">
      <c r="A117" s="35"/>
      <c r="B117" s="35" t="s">
        <v>276</v>
      </c>
      <c r="C117" s="36" t="s">
        <v>183</v>
      </c>
      <c r="D117" s="35"/>
      <c r="E117" s="37" t="b">
        <v>1</v>
      </c>
      <c r="F117" s="37" t="b">
        <v>0</v>
      </c>
      <c r="G117" s="37"/>
      <c r="H117" s="35"/>
      <c r="I117" s="37">
        <v>2</v>
      </c>
      <c r="J117" s="37">
        <v>480</v>
      </c>
      <c r="K117" s="36" t="s">
        <v>138</v>
      </c>
      <c r="L117" s="37">
        <v>1.1000000000000001</v>
      </c>
      <c r="M117" s="35"/>
      <c r="N117" s="35"/>
      <c r="O117" s="36" t="s">
        <v>110</v>
      </c>
      <c r="P117" s="37" t="b">
        <v>0</v>
      </c>
      <c r="Q117" s="37">
        <v>1.491398</v>
      </c>
      <c r="R117" s="37">
        <v>0.82026889999999997</v>
      </c>
      <c r="S117" s="37" t="b">
        <v>0</v>
      </c>
      <c r="T117" s="35"/>
      <c r="U117" s="37">
        <v>0</v>
      </c>
      <c r="V117" s="35"/>
      <c r="W117" s="35"/>
      <c r="X117" s="35"/>
      <c r="Y117" s="35"/>
      <c r="Z117" s="38"/>
      <c r="AA117" s="36"/>
      <c r="AB117" s="39">
        <v>41481.472881944443</v>
      </c>
      <c r="AC117" s="40">
        <v>222</v>
      </c>
      <c r="AD117" s="36" t="s">
        <v>103</v>
      </c>
      <c r="AE117" s="35" t="s">
        <v>104</v>
      </c>
      <c r="AF117" s="35" t="s">
        <v>105</v>
      </c>
      <c r="AJ117" s="34">
        <f>Table_owssvr_1[[#This Row],[Total Expected Load (kW)]]</f>
        <v>0.82026889999999997</v>
      </c>
      <c r="AK117" s="34">
        <f>Table_owssvr_1[[#This Row],[Total Expected Load (kW)]]</f>
        <v>0.82026889999999997</v>
      </c>
    </row>
    <row r="118" spans="1:37">
      <c r="A118" s="35"/>
      <c r="B118" s="35" t="s">
        <v>277</v>
      </c>
      <c r="C118" s="36" t="s">
        <v>183</v>
      </c>
      <c r="D118" s="35"/>
      <c r="E118" s="37" t="b">
        <v>1</v>
      </c>
      <c r="F118" s="37" t="b">
        <v>0</v>
      </c>
      <c r="G118" s="37"/>
      <c r="H118" s="35"/>
      <c r="I118" s="37">
        <v>2</v>
      </c>
      <c r="J118" s="37">
        <v>480</v>
      </c>
      <c r="K118" s="36" t="s">
        <v>138</v>
      </c>
      <c r="L118" s="37">
        <v>1.1000000000000001</v>
      </c>
      <c r="M118" s="35"/>
      <c r="N118" s="35"/>
      <c r="O118" s="36" t="s">
        <v>110</v>
      </c>
      <c r="P118" s="37" t="b">
        <v>0</v>
      </c>
      <c r="Q118" s="37">
        <v>1.491398</v>
      </c>
      <c r="R118" s="37">
        <v>0.82026889999999997</v>
      </c>
      <c r="S118" s="37" t="b">
        <v>0</v>
      </c>
      <c r="T118" s="35"/>
      <c r="U118" s="37">
        <v>0</v>
      </c>
      <c r="V118" s="35"/>
      <c r="W118" s="35"/>
      <c r="X118" s="35"/>
      <c r="Y118" s="35"/>
      <c r="Z118" s="38"/>
      <c r="AA118" s="36"/>
      <c r="AB118" s="39">
        <v>41481.472881944443</v>
      </c>
      <c r="AC118" s="40">
        <v>223</v>
      </c>
      <c r="AD118" s="36" t="s">
        <v>103</v>
      </c>
      <c r="AE118" s="35" t="s">
        <v>104</v>
      </c>
      <c r="AF118" s="35" t="s">
        <v>105</v>
      </c>
      <c r="AJ118" s="34">
        <f>Table_owssvr_1[[#This Row],[Total Expected Load (kW)]]</f>
        <v>0.82026889999999997</v>
      </c>
      <c r="AK118" s="34">
        <f>Table_owssvr_1[[#This Row],[Total Expected Load (kW)]]</f>
        <v>0.82026889999999997</v>
      </c>
    </row>
    <row r="119" spans="1:37">
      <c r="A119" s="35"/>
      <c r="B119" s="35" t="s">
        <v>278</v>
      </c>
      <c r="C119" s="36" t="s">
        <v>183</v>
      </c>
      <c r="D119" s="35"/>
      <c r="E119" s="37" t="b">
        <v>1</v>
      </c>
      <c r="F119" s="37" t="b">
        <v>0</v>
      </c>
      <c r="G119" s="37"/>
      <c r="H119" s="35"/>
      <c r="I119" s="37">
        <v>2</v>
      </c>
      <c r="J119" s="37">
        <v>480</v>
      </c>
      <c r="K119" s="36" t="s">
        <v>138</v>
      </c>
      <c r="L119" s="37">
        <v>1.1000000000000001</v>
      </c>
      <c r="M119" s="35"/>
      <c r="N119" s="35"/>
      <c r="O119" s="36" t="s">
        <v>110</v>
      </c>
      <c r="P119" s="37" t="b">
        <v>0</v>
      </c>
      <c r="Q119" s="37">
        <v>1.491398</v>
      </c>
      <c r="R119" s="37">
        <v>0.82026889999999997</v>
      </c>
      <c r="S119" s="37" t="b">
        <v>0</v>
      </c>
      <c r="T119" s="35"/>
      <c r="U119" s="37">
        <v>0</v>
      </c>
      <c r="V119" s="35"/>
      <c r="W119" s="35"/>
      <c r="X119" s="35"/>
      <c r="Y119" s="35"/>
      <c r="Z119" s="38"/>
      <c r="AA119" s="36"/>
      <c r="AB119" s="39">
        <v>41481.472881944443</v>
      </c>
      <c r="AC119" s="40">
        <v>224</v>
      </c>
      <c r="AD119" s="36" t="s">
        <v>103</v>
      </c>
      <c r="AE119" s="35" t="s">
        <v>104</v>
      </c>
      <c r="AF119" s="35" t="s">
        <v>105</v>
      </c>
      <c r="AJ119" s="34">
        <f>Table_owssvr_1[[#This Row],[Total Expected Load (kW)]]</f>
        <v>0.82026889999999997</v>
      </c>
      <c r="AK119" s="34">
        <f>Table_owssvr_1[[#This Row],[Total Expected Load (kW)]]</f>
        <v>0.82026889999999997</v>
      </c>
    </row>
    <row r="120" spans="1:37">
      <c r="A120" s="35"/>
      <c r="B120" s="35" t="s">
        <v>279</v>
      </c>
      <c r="C120" s="36" t="s">
        <v>183</v>
      </c>
      <c r="D120" s="35"/>
      <c r="E120" s="37" t="b">
        <v>1</v>
      </c>
      <c r="F120" s="37" t="b">
        <v>0</v>
      </c>
      <c r="G120" s="37"/>
      <c r="H120" s="35"/>
      <c r="I120" s="37">
        <v>5</v>
      </c>
      <c r="J120" s="37">
        <v>480</v>
      </c>
      <c r="K120" s="36" t="s">
        <v>138</v>
      </c>
      <c r="L120" s="37">
        <v>3.7</v>
      </c>
      <c r="M120" s="35"/>
      <c r="N120" s="35"/>
      <c r="O120" s="36" t="s">
        <v>110</v>
      </c>
      <c r="P120" s="37" t="b">
        <v>0</v>
      </c>
      <c r="Q120" s="37">
        <v>3.7284950000000001</v>
      </c>
      <c r="R120" s="37">
        <v>2.7590862999999999</v>
      </c>
      <c r="S120" s="37" t="b">
        <v>0</v>
      </c>
      <c r="T120" s="35"/>
      <c r="U120" s="37">
        <v>0</v>
      </c>
      <c r="V120" s="35"/>
      <c r="W120" s="35"/>
      <c r="X120" s="35"/>
      <c r="Y120" s="35"/>
      <c r="Z120" s="38"/>
      <c r="AA120" s="36"/>
      <c r="AB120" s="39">
        <v>41481.472881944443</v>
      </c>
      <c r="AC120" s="40">
        <v>225</v>
      </c>
      <c r="AD120" s="36" t="s">
        <v>103</v>
      </c>
      <c r="AE120" s="35" t="s">
        <v>104</v>
      </c>
      <c r="AF120" s="35" t="s">
        <v>105</v>
      </c>
      <c r="AJ120" s="34">
        <f>Table_owssvr_1[[#This Row],[Total Expected Load (kW)]]</f>
        <v>2.7590862999999999</v>
      </c>
      <c r="AK120" s="34">
        <f>Table_owssvr_1[[#This Row],[Total Expected Load (kW)]]</f>
        <v>2.7590862999999999</v>
      </c>
    </row>
    <row r="121" spans="1:37">
      <c r="A121" s="35"/>
      <c r="B121" s="35" t="s">
        <v>280</v>
      </c>
      <c r="C121" s="36" t="s">
        <v>183</v>
      </c>
      <c r="D121" s="35"/>
      <c r="E121" s="37" t="b">
        <v>0</v>
      </c>
      <c r="F121" s="37" t="b">
        <v>1</v>
      </c>
      <c r="G121" s="37"/>
      <c r="H121" s="35"/>
      <c r="I121" s="37">
        <v>5</v>
      </c>
      <c r="J121" s="37">
        <v>480</v>
      </c>
      <c r="K121" s="36" t="s">
        <v>138</v>
      </c>
      <c r="L121" s="37">
        <v>3.7</v>
      </c>
      <c r="M121" s="35"/>
      <c r="N121" s="35"/>
      <c r="O121" s="36" t="s">
        <v>110</v>
      </c>
      <c r="P121" s="37" t="b">
        <v>0</v>
      </c>
      <c r="Q121" s="37">
        <v>3.7284950000000001</v>
      </c>
      <c r="R121" s="37">
        <v>2.7590862999999999</v>
      </c>
      <c r="S121" s="37" t="b">
        <v>0</v>
      </c>
      <c r="T121" s="35"/>
      <c r="U121" s="37">
        <v>0</v>
      </c>
      <c r="V121" s="35"/>
      <c r="W121" s="35"/>
      <c r="X121" s="35"/>
      <c r="Y121" s="35"/>
      <c r="Z121" s="38"/>
      <c r="AA121" s="36"/>
      <c r="AB121" s="39">
        <v>41481.472893518519</v>
      </c>
      <c r="AC121" s="40">
        <v>226</v>
      </c>
      <c r="AD121" s="36" t="s">
        <v>103</v>
      </c>
      <c r="AE121" s="35" t="s">
        <v>104</v>
      </c>
      <c r="AF121" s="35" t="s">
        <v>105</v>
      </c>
      <c r="AJ121" s="34">
        <f>Table_owssvr_1[[#This Row],[Total Expected Load (kW)]]</f>
        <v>2.7590862999999999</v>
      </c>
      <c r="AK121" s="34">
        <f>Table_owssvr_1[[#This Row],[Total Expected Load (kW)]]</f>
        <v>2.7590862999999999</v>
      </c>
    </row>
    <row r="122" spans="1:37">
      <c r="A122" s="35"/>
      <c r="B122" s="35" t="s">
        <v>281</v>
      </c>
      <c r="C122" s="36" t="s">
        <v>183</v>
      </c>
      <c r="D122" s="35"/>
      <c r="E122" s="37" t="b">
        <v>1</v>
      </c>
      <c r="F122" s="37" t="b">
        <v>0</v>
      </c>
      <c r="G122" s="37"/>
      <c r="H122" s="35"/>
      <c r="I122" s="37">
        <v>5</v>
      </c>
      <c r="J122" s="37">
        <v>480</v>
      </c>
      <c r="K122" s="36" t="s">
        <v>138</v>
      </c>
      <c r="L122" s="37">
        <v>3.7</v>
      </c>
      <c r="M122" s="35"/>
      <c r="N122" s="35"/>
      <c r="O122" s="36" t="s">
        <v>110</v>
      </c>
      <c r="P122" s="37" t="b">
        <v>0</v>
      </c>
      <c r="Q122" s="37">
        <v>3.7284950000000001</v>
      </c>
      <c r="R122" s="37">
        <v>2.7590862999999999</v>
      </c>
      <c r="S122" s="37" t="b">
        <v>0</v>
      </c>
      <c r="T122" s="35"/>
      <c r="U122" s="37">
        <v>0</v>
      </c>
      <c r="V122" s="35"/>
      <c r="W122" s="35"/>
      <c r="X122" s="35"/>
      <c r="Y122" s="35"/>
      <c r="Z122" s="38"/>
      <c r="AA122" s="36"/>
      <c r="AB122" s="39">
        <v>41481.472893518519</v>
      </c>
      <c r="AC122" s="40">
        <v>227</v>
      </c>
      <c r="AD122" s="36" t="s">
        <v>103</v>
      </c>
      <c r="AE122" s="35" t="s">
        <v>104</v>
      </c>
      <c r="AF122" s="35" t="s">
        <v>105</v>
      </c>
      <c r="AJ122" s="34">
        <f>Table_owssvr_1[[#This Row],[Total Expected Load (kW)]]</f>
        <v>2.7590862999999999</v>
      </c>
      <c r="AK122" s="34">
        <f>Table_owssvr_1[[#This Row],[Total Expected Load (kW)]]</f>
        <v>2.7590862999999999</v>
      </c>
    </row>
    <row r="123" spans="1:37">
      <c r="A123" s="35"/>
      <c r="B123" s="35" t="s">
        <v>282</v>
      </c>
      <c r="C123" s="36" t="s">
        <v>183</v>
      </c>
      <c r="D123" s="35"/>
      <c r="E123" s="37" t="b">
        <v>0</v>
      </c>
      <c r="F123" s="37" t="b">
        <v>1</v>
      </c>
      <c r="G123" s="37"/>
      <c r="H123" s="35"/>
      <c r="I123" s="37">
        <v>5</v>
      </c>
      <c r="J123" s="37">
        <v>480</v>
      </c>
      <c r="K123" s="36" t="s">
        <v>138</v>
      </c>
      <c r="L123" s="37">
        <v>3.7</v>
      </c>
      <c r="M123" s="35"/>
      <c r="N123" s="35"/>
      <c r="O123" s="36" t="s">
        <v>110</v>
      </c>
      <c r="P123" s="37" t="b">
        <v>0</v>
      </c>
      <c r="Q123" s="37">
        <v>3.7284950000000001</v>
      </c>
      <c r="R123" s="37">
        <v>2.7590862999999999</v>
      </c>
      <c r="S123" s="37" t="b">
        <v>0</v>
      </c>
      <c r="T123" s="35"/>
      <c r="U123" s="37">
        <v>0</v>
      </c>
      <c r="V123" s="35"/>
      <c r="W123" s="35"/>
      <c r="X123" s="35"/>
      <c r="Y123" s="35"/>
      <c r="Z123" s="38"/>
      <c r="AA123" s="36"/>
      <c r="AB123" s="39">
        <v>41481.472893518519</v>
      </c>
      <c r="AC123" s="40">
        <v>228</v>
      </c>
      <c r="AD123" s="36" t="s">
        <v>103</v>
      </c>
      <c r="AE123" s="35" t="s">
        <v>104</v>
      </c>
      <c r="AF123" s="35" t="s">
        <v>105</v>
      </c>
      <c r="AJ123" s="34">
        <f>Table_owssvr_1[[#This Row],[Total Expected Load (kW)]]</f>
        <v>2.7590862999999999</v>
      </c>
      <c r="AK123" s="34">
        <f>Table_owssvr_1[[#This Row],[Total Expected Load (kW)]]</f>
        <v>2.7590862999999999</v>
      </c>
    </row>
    <row r="124" spans="1:37">
      <c r="A124" s="35"/>
      <c r="B124" s="35" t="s">
        <v>283</v>
      </c>
      <c r="C124" s="36" t="s">
        <v>183</v>
      </c>
      <c r="D124" s="35"/>
      <c r="E124" s="37" t="b">
        <v>1</v>
      </c>
      <c r="F124" s="37" t="b">
        <v>0</v>
      </c>
      <c r="G124" s="37"/>
      <c r="H124" s="35"/>
      <c r="I124" s="37">
        <v>0.1</v>
      </c>
      <c r="J124" s="37">
        <v>120</v>
      </c>
      <c r="K124" s="36" t="s">
        <v>101</v>
      </c>
      <c r="L124" s="37">
        <v>0</v>
      </c>
      <c r="M124" s="35"/>
      <c r="N124" s="35"/>
      <c r="O124" s="36" t="s">
        <v>110</v>
      </c>
      <c r="P124" s="37" t="b">
        <v>0</v>
      </c>
      <c r="Q124" s="37">
        <v>7.4569899999999995E-2</v>
      </c>
      <c r="R124" s="37">
        <v>0</v>
      </c>
      <c r="S124" s="37" t="b">
        <v>0</v>
      </c>
      <c r="T124" s="35"/>
      <c r="U124" s="37">
        <v>0</v>
      </c>
      <c r="V124" s="35"/>
      <c r="W124" s="35"/>
      <c r="X124" s="35"/>
      <c r="Y124" s="35"/>
      <c r="Z124" s="38"/>
      <c r="AA124" s="36"/>
      <c r="AB124" s="39">
        <v>41481.472893518519</v>
      </c>
      <c r="AC124" s="40">
        <v>243</v>
      </c>
      <c r="AD124" s="36" t="s">
        <v>103</v>
      </c>
      <c r="AE124" s="35" t="s">
        <v>104</v>
      </c>
      <c r="AF124" s="35" t="s">
        <v>105</v>
      </c>
      <c r="AJ124" s="34">
        <f>Table_owssvr_1[[#This Row],[Total Connected Load (kW)]]</f>
        <v>7.4569899999999995E-2</v>
      </c>
      <c r="AK124" s="34">
        <f>Table_owssvr_1[[#This Row],[Total Connected Load (kW)]]</f>
        <v>7.4569899999999995E-2</v>
      </c>
    </row>
    <row r="125" spans="1:37">
      <c r="A125" s="35"/>
      <c r="B125" s="35" t="s">
        <v>284</v>
      </c>
      <c r="C125" s="36" t="s">
        <v>183</v>
      </c>
      <c r="D125" s="35"/>
      <c r="E125" s="37" t="b">
        <v>1</v>
      </c>
      <c r="F125" s="37" t="b">
        <v>0</v>
      </c>
      <c r="G125" s="37"/>
      <c r="H125" s="35"/>
      <c r="I125" s="37">
        <v>0.1</v>
      </c>
      <c r="J125" s="37">
        <v>120</v>
      </c>
      <c r="K125" s="36" t="s">
        <v>101</v>
      </c>
      <c r="L125" s="37">
        <v>0</v>
      </c>
      <c r="M125" s="35"/>
      <c r="N125" s="35"/>
      <c r="O125" s="36" t="s">
        <v>110</v>
      </c>
      <c r="P125" s="37" t="b">
        <v>0</v>
      </c>
      <c r="Q125" s="37">
        <v>7.4569899999999995E-2</v>
      </c>
      <c r="R125" s="37">
        <v>0</v>
      </c>
      <c r="S125" s="37" t="b">
        <v>0</v>
      </c>
      <c r="T125" s="35"/>
      <c r="U125" s="37">
        <v>0</v>
      </c>
      <c r="V125" s="35"/>
      <c r="W125" s="35"/>
      <c r="X125" s="35"/>
      <c r="Y125" s="35"/>
      <c r="Z125" s="38"/>
      <c r="AA125" s="36"/>
      <c r="AB125" s="39">
        <v>41481.472893518519</v>
      </c>
      <c r="AC125" s="40">
        <v>244</v>
      </c>
      <c r="AD125" s="36" t="s">
        <v>103</v>
      </c>
      <c r="AE125" s="35" t="s">
        <v>104</v>
      </c>
      <c r="AF125" s="35" t="s">
        <v>105</v>
      </c>
      <c r="AJ125" s="34">
        <f>Table_owssvr_1[[#This Row],[Total Connected Load (kW)]]</f>
        <v>7.4569899999999995E-2</v>
      </c>
      <c r="AK125" s="34">
        <f>Table_owssvr_1[[#This Row],[Total Connected Load (kW)]]</f>
        <v>7.4569899999999995E-2</v>
      </c>
    </row>
    <row r="126" spans="1:37">
      <c r="A126" s="35"/>
      <c r="B126" s="35" t="s">
        <v>285</v>
      </c>
      <c r="C126" s="36" t="s">
        <v>183</v>
      </c>
      <c r="D126" s="35"/>
      <c r="E126" s="37" t="b">
        <v>1</v>
      </c>
      <c r="F126" s="37" t="b">
        <v>0</v>
      </c>
      <c r="G126" s="37"/>
      <c r="H126" s="35"/>
      <c r="I126" s="37">
        <v>0.1</v>
      </c>
      <c r="J126" s="37">
        <v>120</v>
      </c>
      <c r="K126" s="36" t="s">
        <v>101</v>
      </c>
      <c r="L126" s="37">
        <v>0</v>
      </c>
      <c r="M126" s="35"/>
      <c r="N126" s="35"/>
      <c r="O126" s="36" t="s">
        <v>110</v>
      </c>
      <c r="P126" s="37" t="b">
        <v>0</v>
      </c>
      <c r="Q126" s="37">
        <v>7.4569899999999995E-2</v>
      </c>
      <c r="R126" s="37">
        <v>0</v>
      </c>
      <c r="S126" s="37" t="b">
        <v>0</v>
      </c>
      <c r="T126" s="35"/>
      <c r="U126" s="37">
        <v>0</v>
      </c>
      <c r="V126" s="35"/>
      <c r="W126" s="35"/>
      <c r="X126" s="35"/>
      <c r="Y126" s="35"/>
      <c r="Z126" s="38"/>
      <c r="AA126" s="36"/>
      <c r="AB126" s="39">
        <v>41481.472893518519</v>
      </c>
      <c r="AC126" s="40">
        <v>245</v>
      </c>
      <c r="AD126" s="36" t="s">
        <v>103</v>
      </c>
      <c r="AE126" s="35" t="s">
        <v>104</v>
      </c>
      <c r="AF126" s="35" t="s">
        <v>105</v>
      </c>
      <c r="AJ126" s="34">
        <f>Table_owssvr_1[[#This Row],[Total Connected Load (kW)]]</f>
        <v>7.4569899999999995E-2</v>
      </c>
      <c r="AK126" s="34">
        <f>Table_owssvr_1[[#This Row],[Total Connected Load (kW)]]</f>
        <v>7.4569899999999995E-2</v>
      </c>
    </row>
    <row r="127" spans="1:37">
      <c r="A127" s="35"/>
      <c r="B127" s="35" t="s">
        <v>286</v>
      </c>
      <c r="C127" s="36" t="s">
        <v>183</v>
      </c>
      <c r="D127" s="35"/>
      <c r="E127" s="37" t="b">
        <v>1</v>
      </c>
      <c r="F127" s="37" t="b">
        <v>0</v>
      </c>
      <c r="G127" s="37"/>
      <c r="H127" s="35"/>
      <c r="I127" s="37">
        <v>0.1</v>
      </c>
      <c r="J127" s="37">
        <v>120</v>
      </c>
      <c r="K127" s="36" t="s">
        <v>101</v>
      </c>
      <c r="L127" s="37">
        <v>0</v>
      </c>
      <c r="M127" s="35"/>
      <c r="N127" s="35"/>
      <c r="O127" s="36" t="s">
        <v>110</v>
      </c>
      <c r="P127" s="37" t="b">
        <v>0</v>
      </c>
      <c r="Q127" s="37">
        <v>7.4569899999999995E-2</v>
      </c>
      <c r="R127" s="37">
        <v>0</v>
      </c>
      <c r="S127" s="37" t="b">
        <v>0</v>
      </c>
      <c r="T127" s="35"/>
      <c r="U127" s="37">
        <v>0</v>
      </c>
      <c r="V127" s="35"/>
      <c r="W127" s="35"/>
      <c r="X127" s="35"/>
      <c r="Y127" s="35"/>
      <c r="Z127" s="38"/>
      <c r="AA127" s="36"/>
      <c r="AB127" s="39">
        <v>41481.472893518519</v>
      </c>
      <c r="AC127" s="40">
        <v>246</v>
      </c>
      <c r="AD127" s="36" t="s">
        <v>103</v>
      </c>
      <c r="AE127" s="35" t="s">
        <v>104</v>
      </c>
      <c r="AF127" s="35" t="s">
        <v>105</v>
      </c>
      <c r="AJ127" s="34">
        <f>Table_owssvr_1[[#This Row],[Total Connected Load (kW)]]</f>
        <v>7.4569899999999995E-2</v>
      </c>
      <c r="AK127" s="34">
        <f>Table_owssvr_1[[#This Row],[Total Connected Load (kW)]]</f>
        <v>7.4569899999999995E-2</v>
      </c>
    </row>
    <row r="128" spans="1:37">
      <c r="A128" s="35"/>
      <c r="B128" s="35" t="s">
        <v>287</v>
      </c>
      <c r="C128" s="36" t="s">
        <v>183</v>
      </c>
      <c r="D128" s="35"/>
      <c r="E128" s="37" t="b">
        <v>1</v>
      </c>
      <c r="F128" s="37" t="b">
        <v>0</v>
      </c>
      <c r="G128" s="37"/>
      <c r="H128" s="35"/>
      <c r="I128" s="37">
        <v>0.1</v>
      </c>
      <c r="J128" s="37">
        <v>120</v>
      </c>
      <c r="K128" s="36" t="s">
        <v>101</v>
      </c>
      <c r="L128" s="37">
        <v>0</v>
      </c>
      <c r="M128" s="35"/>
      <c r="N128" s="35"/>
      <c r="O128" s="36" t="s">
        <v>110</v>
      </c>
      <c r="P128" s="37" t="b">
        <v>0</v>
      </c>
      <c r="Q128" s="37">
        <v>7.4569899999999995E-2</v>
      </c>
      <c r="R128" s="37">
        <v>0</v>
      </c>
      <c r="S128" s="37" t="b">
        <v>0</v>
      </c>
      <c r="T128" s="35"/>
      <c r="U128" s="37">
        <v>0</v>
      </c>
      <c r="V128" s="35"/>
      <c r="W128" s="35"/>
      <c r="X128" s="35"/>
      <c r="Y128" s="35"/>
      <c r="Z128" s="38"/>
      <c r="AA128" s="36"/>
      <c r="AB128" s="39">
        <v>41481.472893518519</v>
      </c>
      <c r="AC128" s="40">
        <v>247</v>
      </c>
      <c r="AD128" s="36" t="s">
        <v>103</v>
      </c>
      <c r="AE128" s="35" t="s">
        <v>104</v>
      </c>
      <c r="AF128" s="35" t="s">
        <v>105</v>
      </c>
      <c r="AJ128" s="34">
        <f>Table_owssvr_1[[#This Row],[Total Connected Load (kW)]]</f>
        <v>7.4569899999999995E-2</v>
      </c>
      <c r="AK128" s="34">
        <f>Table_owssvr_1[[#This Row],[Total Connected Load (kW)]]</f>
        <v>7.4569899999999995E-2</v>
      </c>
    </row>
    <row r="129" spans="1:37">
      <c r="A129" s="35"/>
      <c r="B129" s="35" t="s">
        <v>288</v>
      </c>
      <c r="C129" s="36" t="s">
        <v>183</v>
      </c>
      <c r="D129" s="35"/>
      <c r="E129" s="37" t="b">
        <v>1</v>
      </c>
      <c r="F129" s="37" t="b">
        <v>0</v>
      </c>
      <c r="G129" s="37"/>
      <c r="H129" s="35"/>
      <c r="I129" s="37">
        <v>0.1</v>
      </c>
      <c r="J129" s="37">
        <v>120</v>
      </c>
      <c r="K129" s="36" t="s">
        <v>101</v>
      </c>
      <c r="L129" s="37">
        <v>0</v>
      </c>
      <c r="M129" s="35"/>
      <c r="N129" s="35"/>
      <c r="O129" s="36" t="s">
        <v>110</v>
      </c>
      <c r="P129" s="37" t="b">
        <v>0</v>
      </c>
      <c r="Q129" s="37">
        <v>7.4569899999999995E-2</v>
      </c>
      <c r="R129" s="37">
        <v>0</v>
      </c>
      <c r="S129" s="37" t="b">
        <v>0</v>
      </c>
      <c r="T129" s="35"/>
      <c r="U129" s="37">
        <v>0</v>
      </c>
      <c r="V129" s="35"/>
      <c r="W129" s="35"/>
      <c r="X129" s="35"/>
      <c r="Y129" s="35"/>
      <c r="Z129" s="38"/>
      <c r="AA129" s="36"/>
      <c r="AB129" s="39">
        <v>41481.472893518519</v>
      </c>
      <c r="AC129" s="40">
        <v>248</v>
      </c>
      <c r="AD129" s="36" t="s">
        <v>103</v>
      </c>
      <c r="AE129" s="35" t="s">
        <v>104</v>
      </c>
      <c r="AF129" s="35" t="s">
        <v>105</v>
      </c>
      <c r="AJ129" s="34">
        <f>Table_owssvr_1[[#This Row],[Total Connected Load (kW)]]</f>
        <v>7.4569899999999995E-2</v>
      </c>
      <c r="AK129" s="34">
        <f>Table_owssvr_1[[#This Row],[Total Connected Load (kW)]]</f>
        <v>7.4569899999999995E-2</v>
      </c>
    </row>
    <row r="130" spans="1:37">
      <c r="A130" s="35"/>
      <c r="B130" s="35" t="s">
        <v>289</v>
      </c>
      <c r="C130" s="36" t="s">
        <v>183</v>
      </c>
      <c r="D130" s="35"/>
      <c r="E130" s="37" t="b">
        <v>1</v>
      </c>
      <c r="F130" s="37" t="b">
        <v>0</v>
      </c>
      <c r="G130" s="37"/>
      <c r="H130" s="35"/>
      <c r="I130" s="37">
        <v>0.1</v>
      </c>
      <c r="J130" s="37">
        <v>120</v>
      </c>
      <c r="K130" s="36" t="s">
        <v>101</v>
      </c>
      <c r="L130" s="37">
        <v>0</v>
      </c>
      <c r="M130" s="35"/>
      <c r="N130" s="35"/>
      <c r="O130" s="36" t="s">
        <v>110</v>
      </c>
      <c r="P130" s="37" t="b">
        <v>0</v>
      </c>
      <c r="Q130" s="37">
        <v>7.4569899999999995E-2</v>
      </c>
      <c r="R130" s="37">
        <v>0</v>
      </c>
      <c r="S130" s="37" t="b">
        <v>0</v>
      </c>
      <c r="T130" s="35"/>
      <c r="U130" s="37">
        <v>0</v>
      </c>
      <c r="V130" s="35"/>
      <c r="W130" s="35"/>
      <c r="X130" s="35"/>
      <c r="Y130" s="35"/>
      <c r="Z130" s="38"/>
      <c r="AA130" s="36"/>
      <c r="AB130" s="39">
        <v>41481.472893518519</v>
      </c>
      <c r="AC130" s="40">
        <v>249</v>
      </c>
      <c r="AD130" s="36" t="s">
        <v>103</v>
      </c>
      <c r="AE130" s="35" t="s">
        <v>104</v>
      </c>
      <c r="AF130" s="35" t="s">
        <v>105</v>
      </c>
      <c r="AJ130" s="34">
        <f>Table_owssvr_1[[#This Row],[Total Connected Load (kW)]]</f>
        <v>7.4569899999999995E-2</v>
      </c>
      <c r="AK130" s="34">
        <f>Table_owssvr_1[[#This Row],[Total Connected Load (kW)]]</f>
        <v>7.4569899999999995E-2</v>
      </c>
    </row>
    <row r="131" spans="1:37">
      <c r="A131" s="35"/>
      <c r="B131" s="35" t="s">
        <v>290</v>
      </c>
      <c r="C131" s="36" t="s">
        <v>183</v>
      </c>
      <c r="D131" s="35"/>
      <c r="E131" s="37" t="b">
        <v>1</v>
      </c>
      <c r="F131" s="37" t="b">
        <v>0</v>
      </c>
      <c r="G131" s="37"/>
      <c r="H131" s="35"/>
      <c r="I131" s="37">
        <v>0.1</v>
      </c>
      <c r="J131" s="37">
        <v>120</v>
      </c>
      <c r="K131" s="36" t="s">
        <v>101</v>
      </c>
      <c r="L131" s="37">
        <v>0</v>
      </c>
      <c r="M131" s="35"/>
      <c r="N131" s="35"/>
      <c r="O131" s="36" t="s">
        <v>110</v>
      </c>
      <c r="P131" s="37" t="b">
        <v>0</v>
      </c>
      <c r="Q131" s="37">
        <v>7.4569899999999995E-2</v>
      </c>
      <c r="R131" s="37">
        <v>0</v>
      </c>
      <c r="S131" s="37" t="b">
        <v>0</v>
      </c>
      <c r="T131" s="35"/>
      <c r="U131" s="37">
        <v>0</v>
      </c>
      <c r="V131" s="35"/>
      <c r="W131" s="35"/>
      <c r="X131" s="35"/>
      <c r="Y131" s="35"/>
      <c r="Z131" s="38"/>
      <c r="AA131" s="36"/>
      <c r="AB131" s="39">
        <v>41481.472905092596</v>
      </c>
      <c r="AC131" s="40">
        <v>250</v>
      </c>
      <c r="AD131" s="36" t="s">
        <v>103</v>
      </c>
      <c r="AE131" s="35" t="s">
        <v>104</v>
      </c>
      <c r="AF131" s="35" t="s">
        <v>105</v>
      </c>
      <c r="AJ131" s="34">
        <f>Table_owssvr_1[[#This Row],[Total Connected Load (kW)]]</f>
        <v>7.4569899999999995E-2</v>
      </c>
      <c r="AK131" s="34">
        <f>Table_owssvr_1[[#This Row],[Total Connected Load (kW)]]</f>
        <v>7.4569899999999995E-2</v>
      </c>
    </row>
    <row r="132" spans="1:37">
      <c r="A132" s="35"/>
      <c r="B132" s="35" t="s">
        <v>291</v>
      </c>
      <c r="C132" s="36" t="s">
        <v>183</v>
      </c>
      <c r="D132" s="35"/>
      <c r="E132" s="37" t="b">
        <v>1</v>
      </c>
      <c r="F132" s="37" t="b">
        <v>0</v>
      </c>
      <c r="G132" s="37"/>
      <c r="H132" s="35"/>
      <c r="I132" s="37">
        <v>0.1</v>
      </c>
      <c r="J132" s="37">
        <v>120</v>
      </c>
      <c r="K132" s="36" t="s">
        <v>101</v>
      </c>
      <c r="L132" s="37">
        <v>0</v>
      </c>
      <c r="M132" s="35"/>
      <c r="N132" s="35"/>
      <c r="O132" s="36" t="s">
        <v>110</v>
      </c>
      <c r="P132" s="37" t="b">
        <v>0</v>
      </c>
      <c r="Q132" s="37">
        <v>7.4569899999999995E-2</v>
      </c>
      <c r="R132" s="37">
        <v>0</v>
      </c>
      <c r="S132" s="37" t="b">
        <v>0</v>
      </c>
      <c r="T132" s="35"/>
      <c r="U132" s="37">
        <v>0</v>
      </c>
      <c r="V132" s="35"/>
      <c r="W132" s="35"/>
      <c r="X132" s="35"/>
      <c r="Y132" s="35"/>
      <c r="Z132" s="38"/>
      <c r="AA132" s="36"/>
      <c r="AB132" s="39">
        <v>41481.472905092596</v>
      </c>
      <c r="AC132" s="40">
        <v>251</v>
      </c>
      <c r="AD132" s="36" t="s">
        <v>103</v>
      </c>
      <c r="AE132" s="35" t="s">
        <v>104</v>
      </c>
      <c r="AF132" s="35" t="s">
        <v>105</v>
      </c>
      <c r="AJ132" s="34">
        <f>Table_owssvr_1[[#This Row],[Total Connected Load (kW)]]</f>
        <v>7.4569899999999995E-2</v>
      </c>
      <c r="AK132" s="34">
        <f>Table_owssvr_1[[#This Row],[Total Connected Load (kW)]]</f>
        <v>7.4569899999999995E-2</v>
      </c>
    </row>
    <row r="133" spans="1:37">
      <c r="A133" s="35"/>
      <c r="B133" s="35" t="s">
        <v>292</v>
      </c>
      <c r="C133" s="36" t="s">
        <v>183</v>
      </c>
      <c r="D133" s="35"/>
      <c r="E133" s="37" t="b">
        <v>1</v>
      </c>
      <c r="F133" s="37" t="b">
        <v>0</v>
      </c>
      <c r="G133" s="37"/>
      <c r="H133" s="35"/>
      <c r="I133" s="37">
        <v>0.1</v>
      </c>
      <c r="J133" s="37">
        <v>120</v>
      </c>
      <c r="K133" s="36" t="s">
        <v>101</v>
      </c>
      <c r="L133" s="37">
        <v>0</v>
      </c>
      <c r="M133" s="35"/>
      <c r="N133" s="35"/>
      <c r="O133" s="36" t="s">
        <v>110</v>
      </c>
      <c r="P133" s="37" t="b">
        <v>0</v>
      </c>
      <c r="Q133" s="37">
        <v>7.4569899999999995E-2</v>
      </c>
      <c r="R133" s="37">
        <v>0</v>
      </c>
      <c r="S133" s="37" t="b">
        <v>0</v>
      </c>
      <c r="T133" s="35"/>
      <c r="U133" s="37">
        <v>0</v>
      </c>
      <c r="V133" s="35"/>
      <c r="W133" s="35"/>
      <c r="X133" s="35"/>
      <c r="Y133" s="35"/>
      <c r="Z133" s="38"/>
      <c r="AA133" s="36"/>
      <c r="AB133" s="39">
        <v>41481.472905092596</v>
      </c>
      <c r="AC133" s="40">
        <v>252</v>
      </c>
      <c r="AD133" s="36" t="s">
        <v>103</v>
      </c>
      <c r="AE133" s="35" t="s">
        <v>104</v>
      </c>
      <c r="AF133" s="35" t="s">
        <v>105</v>
      </c>
      <c r="AJ133" s="34">
        <f>Table_owssvr_1[[#This Row],[Total Connected Load (kW)]]</f>
        <v>7.4569899999999995E-2</v>
      </c>
      <c r="AK133" s="34">
        <f>Table_owssvr_1[[#This Row],[Total Connected Load (kW)]]</f>
        <v>7.4569899999999995E-2</v>
      </c>
    </row>
    <row r="134" spans="1:37">
      <c r="A134" s="35"/>
      <c r="B134" s="35" t="s">
        <v>293</v>
      </c>
      <c r="C134" s="36" t="s">
        <v>183</v>
      </c>
      <c r="D134" s="35"/>
      <c r="E134" s="37" t="b">
        <v>1</v>
      </c>
      <c r="F134" s="37" t="b">
        <v>0</v>
      </c>
      <c r="G134" s="37"/>
      <c r="H134" s="35"/>
      <c r="I134" s="37">
        <v>0.1</v>
      </c>
      <c r="J134" s="37">
        <v>120</v>
      </c>
      <c r="K134" s="36" t="s">
        <v>101</v>
      </c>
      <c r="L134" s="37">
        <v>0</v>
      </c>
      <c r="M134" s="35"/>
      <c r="N134" s="35"/>
      <c r="O134" s="36" t="s">
        <v>110</v>
      </c>
      <c r="P134" s="37" t="b">
        <v>0</v>
      </c>
      <c r="Q134" s="37">
        <v>7.4569899999999995E-2</v>
      </c>
      <c r="R134" s="37">
        <v>0</v>
      </c>
      <c r="S134" s="37" t="b">
        <v>0</v>
      </c>
      <c r="T134" s="35"/>
      <c r="U134" s="37">
        <v>0</v>
      </c>
      <c r="V134" s="35"/>
      <c r="W134" s="35"/>
      <c r="X134" s="35"/>
      <c r="Y134" s="35"/>
      <c r="Z134" s="38"/>
      <c r="AA134" s="36"/>
      <c r="AB134" s="39">
        <v>41481.472905092596</v>
      </c>
      <c r="AC134" s="40">
        <v>253</v>
      </c>
      <c r="AD134" s="36" t="s">
        <v>103</v>
      </c>
      <c r="AE134" s="35" t="s">
        <v>104</v>
      </c>
      <c r="AF134" s="35" t="s">
        <v>105</v>
      </c>
      <c r="AJ134" s="34">
        <f>Table_owssvr_1[[#This Row],[Total Connected Load (kW)]]</f>
        <v>7.4569899999999995E-2</v>
      </c>
      <c r="AK134" s="34">
        <f>Table_owssvr_1[[#This Row],[Total Connected Load (kW)]]</f>
        <v>7.4569899999999995E-2</v>
      </c>
    </row>
    <row r="135" spans="1:37">
      <c r="A135" s="35"/>
      <c r="B135" s="35" t="s">
        <v>294</v>
      </c>
      <c r="C135" s="36" t="s">
        <v>183</v>
      </c>
      <c r="D135" s="35"/>
      <c r="E135" s="37" t="b">
        <v>1</v>
      </c>
      <c r="F135" s="37" t="b">
        <v>0</v>
      </c>
      <c r="G135" s="37"/>
      <c r="H135" s="35"/>
      <c r="I135" s="37">
        <v>0.1</v>
      </c>
      <c r="J135" s="37">
        <v>120</v>
      </c>
      <c r="K135" s="36" t="s">
        <v>101</v>
      </c>
      <c r="L135" s="37">
        <v>0</v>
      </c>
      <c r="M135" s="35"/>
      <c r="N135" s="35"/>
      <c r="O135" s="36" t="s">
        <v>110</v>
      </c>
      <c r="P135" s="37" t="b">
        <v>0</v>
      </c>
      <c r="Q135" s="37">
        <v>7.4569899999999995E-2</v>
      </c>
      <c r="R135" s="37">
        <v>0</v>
      </c>
      <c r="S135" s="37" t="b">
        <v>0</v>
      </c>
      <c r="T135" s="35"/>
      <c r="U135" s="37">
        <v>0</v>
      </c>
      <c r="V135" s="35"/>
      <c r="W135" s="35"/>
      <c r="X135" s="35"/>
      <c r="Y135" s="35"/>
      <c r="Z135" s="38"/>
      <c r="AA135" s="36"/>
      <c r="AB135" s="39">
        <v>41481.472905092596</v>
      </c>
      <c r="AC135" s="40">
        <v>254</v>
      </c>
      <c r="AD135" s="36" t="s">
        <v>103</v>
      </c>
      <c r="AE135" s="35" t="s">
        <v>104</v>
      </c>
      <c r="AF135" s="35" t="s">
        <v>105</v>
      </c>
      <c r="AJ135" s="34">
        <f>Table_owssvr_1[[#This Row],[Total Connected Load (kW)]]</f>
        <v>7.4569899999999995E-2</v>
      </c>
      <c r="AK135" s="34">
        <f>Table_owssvr_1[[#This Row],[Total Connected Load (kW)]]</f>
        <v>7.4569899999999995E-2</v>
      </c>
    </row>
    <row r="136" spans="1:37">
      <c r="A136" s="35"/>
      <c r="B136" s="35" t="s">
        <v>295</v>
      </c>
      <c r="C136" s="36" t="s">
        <v>183</v>
      </c>
      <c r="D136" s="35"/>
      <c r="E136" s="37" t="b">
        <v>1</v>
      </c>
      <c r="F136" s="37" t="b">
        <v>0</v>
      </c>
      <c r="G136" s="37"/>
      <c r="H136" s="35"/>
      <c r="I136" s="37">
        <v>0.1</v>
      </c>
      <c r="J136" s="37">
        <v>120</v>
      </c>
      <c r="K136" s="36" t="s">
        <v>101</v>
      </c>
      <c r="L136" s="37">
        <v>0</v>
      </c>
      <c r="M136" s="35"/>
      <c r="N136" s="35"/>
      <c r="O136" s="36" t="s">
        <v>110</v>
      </c>
      <c r="P136" s="37" t="b">
        <v>0</v>
      </c>
      <c r="Q136" s="37">
        <v>7.4569899999999995E-2</v>
      </c>
      <c r="R136" s="37">
        <v>0</v>
      </c>
      <c r="S136" s="37" t="b">
        <v>0</v>
      </c>
      <c r="T136" s="35"/>
      <c r="U136" s="37">
        <v>0</v>
      </c>
      <c r="V136" s="35"/>
      <c r="W136" s="35"/>
      <c r="X136" s="35"/>
      <c r="Y136" s="35"/>
      <c r="Z136" s="38"/>
      <c r="AA136" s="36"/>
      <c r="AB136" s="39">
        <v>41481.472905092596</v>
      </c>
      <c r="AC136" s="40">
        <v>255</v>
      </c>
      <c r="AD136" s="36" t="s">
        <v>103</v>
      </c>
      <c r="AE136" s="35" t="s">
        <v>104</v>
      </c>
      <c r="AF136" s="35" t="s">
        <v>105</v>
      </c>
      <c r="AJ136" s="34">
        <f>Table_owssvr_1[[#This Row],[Total Connected Load (kW)]]</f>
        <v>7.4569899999999995E-2</v>
      </c>
      <c r="AK136" s="34">
        <f>Table_owssvr_1[[#This Row],[Total Connected Load (kW)]]</f>
        <v>7.4569899999999995E-2</v>
      </c>
    </row>
    <row r="137" spans="1:37">
      <c r="A137" s="35"/>
      <c r="B137" s="35" t="s">
        <v>296</v>
      </c>
      <c r="C137" s="36" t="s">
        <v>183</v>
      </c>
      <c r="D137" s="35"/>
      <c r="E137" s="37" t="b">
        <v>1</v>
      </c>
      <c r="F137" s="37" t="b">
        <v>0</v>
      </c>
      <c r="G137" s="37"/>
      <c r="H137" s="35"/>
      <c r="I137" s="37">
        <v>0.1</v>
      </c>
      <c r="J137" s="37">
        <v>120</v>
      </c>
      <c r="K137" s="36" t="s">
        <v>101</v>
      </c>
      <c r="L137" s="37">
        <v>0</v>
      </c>
      <c r="M137" s="35"/>
      <c r="N137" s="35"/>
      <c r="O137" s="36" t="s">
        <v>110</v>
      </c>
      <c r="P137" s="37" t="b">
        <v>0</v>
      </c>
      <c r="Q137" s="37">
        <v>7.4569899999999995E-2</v>
      </c>
      <c r="R137" s="37">
        <v>0</v>
      </c>
      <c r="S137" s="37" t="b">
        <v>0</v>
      </c>
      <c r="T137" s="35"/>
      <c r="U137" s="37">
        <v>0</v>
      </c>
      <c r="V137" s="35"/>
      <c r="W137" s="35"/>
      <c r="X137" s="35"/>
      <c r="Y137" s="35"/>
      <c r="Z137" s="38"/>
      <c r="AA137" s="36"/>
      <c r="AB137" s="39">
        <v>41481.472905092596</v>
      </c>
      <c r="AC137" s="40">
        <v>256</v>
      </c>
      <c r="AD137" s="36" t="s">
        <v>103</v>
      </c>
      <c r="AE137" s="35" t="s">
        <v>104</v>
      </c>
      <c r="AF137" s="35" t="s">
        <v>105</v>
      </c>
      <c r="AJ137" s="34">
        <f>Table_owssvr_1[[#This Row],[Total Connected Load (kW)]]</f>
        <v>7.4569899999999995E-2</v>
      </c>
      <c r="AK137" s="34">
        <f>Table_owssvr_1[[#This Row],[Total Connected Load (kW)]]</f>
        <v>7.4569899999999995E-2</v>
      </c>
    </row>
    <row r="138" spans="1:37">
      <c r="A138" s="35"/>
      <c r="B138" s="35" t="s">
        <v>297</v>
      </c>
      <c r="C138" s="36" t="s">
        <v>183</v>
      </c>
      <c r="D138" s="35"/>
      <c r="E138" s="37" t="b">
        <v>1</v>
      </c>
      <c r="F138" s="37" t="b">
        <v>0</v>
      </c>
      <c r="G138" s="37"/>
      <c r="H138" s="35"/>
      <c r="I138" s="37">
        <v>0.1</v>
      </c>
      <c r="J138" s="37">
        <v>120</v>
      </c>
      <c r="K138" s="36" t="s">
        <v>101</v>
      </c>
      <c r="L138" s="37">
        <v>0</v>
      </c>
      <c r="M138" s="35"/>
      <c r="N138" s="35"/>
      <c r="O138" s="36" t="s">
        <v>110</v>
      </c>
      <c r="P138" s="37" t="b">
        <v>0</v>
      </c>
      <c r="Q138" s="37">
        <v>7.4569899999999995E-2</v>
      </c>
      <c r="R138" s="37">
        <v>0</v>
      </c>
      <c r="S138" s="37" t="b">
        <v>0</v>
      </c>
      <c r="T138" s="35"/>
      <c r="U138" s="37">
        <v>0</v>
      </c>
      <c r="V138" s="35"/>
      <c r="W138" s="35"/>
      <c r="X138" s="35"/>
      <c r="Y138" s="35"/>
      <c r="Z138" s="38"/>
      <c r="AA138" s="36"/>
      <c r="AB138" s="39">
        <v>41481.472905092596</v>
      </c>
      <c r="AC138" s="40">
        <v>257</v>
      </c>
      <c r="AD138" s="36" t="s">
        <v>103</v>
      </c>
      <c r="AE138" s="35" t="s">
        <v>104</v>
      </c>
      <c r="AF138" s="35" t="s">
        <v>105</v>
      </c>
      <c r="AJ138" s="34">
        <f>Table_owssvr_1[[#This Row],[Total Connected Load (kW)]]</f>
        <v>7.4569899999999995E-2</v>
      </c>
      <c r="AK138" s="34">
        <f>Table_owssvr_1[[#This Row],[Total Connected Load (kW)]]</f>
        <v>7.4569899999999995E-2</v>
      </c>
    </row>
    <row r="139" spans="1:37">
      <c r="A139" s="35"/>
      <c r="B139" s="35" t="s">
        <v>298</v>
      </c>
      <c r="C139" s="36" t="s">
        <v>183</v>
      </c>
      <c r="D139" s="35"/>
      <c r="E139" s="37" t="b">
        <v>1</v>
      </c>
      <c r="F139" s="37" t="b">
        <v>0</v>
      </c>
      <c r="G139" s="37"/>
      <c r="H139" s="35"/>
      <c r="I139" s="37">
        <v>0.1</v>
      </c>
      <c r="J139" s="37">
        <v>120</v>
      </c>
      <c r="K139" s="36" t="s">
        <v>101</v>
      </c>
      <c r="L139" s="37">
        <v>0</v>
      </c>
      <c r="M139" s="35"/>
      <c r="N139" s="35"/>
      <c r="O139" s="36" t="s">
        <v>110</v>
      </c>
      <c r="P139" s="37" t="b">
        <v>0</v>
      </c>
      <c r="Q139" s="37">
        <v>7.4569899999999995E-2</v>
      </c>
      <c r="R139" s="37">
        <v>0</v>
      </c>
      <c r="S139" s="37" t="b">
        <v>0</v>
      </c>
      <c r="T139" s="35"/>
      <c r="U139" s="37">
        <v>0</v>
      </c>
      <c r="V139" s="35"/>
      <c r="W139" s="35"/>
      <c r="X139" s="35"/>
      <c r="Y139" s="35"/>
      <c r="Z139" s="38"/>
      <c r="AA139" s="36"/>
      <c r="AB139" s="39">
        <v>41481.472905092596</v>
      </c>
      <c r="AC139" s="40">
        <v>258</v>
      </c>
      <c r="AD139" s="36" t="s">
        <v>103</v>
      </c>
      <c r="AE139" s="35" t="s">
        <v>104</v>
      </c>
      <c r="AF139" s="35" t="s">
        <v>105</v>
      </c>
      <c r="AJ139" s="34">
        <f>Table_owssvr_1[[#This Row],[Total Connected Load (kW)]]</f>
        <v>7.4569899999999995E-2</v>
      </c>
      <c r="AK139" s="34">
        <f>Table_owssvr_1[[#This Row],[Total Connected Load (kW)]]</f>
        <v>7.4569899999999995E-2</v>
      </c>
    </row>
    <row r="140" spans="1:37">
      <c r="A140" s="35"/>
      <c r="B140" s="35" t="s">
        <v>299</v>
      </c>
      <c r="C140" s="36" t="s">
        <v>183</v>
      </c>
      <c r="D140" s="35"/>
      <c r="E140" s="37" t="b">
        <v>1</v>
      </c>
      <c r="F140" s="37" t="b">
        <v>0</v>
      </c>
      <c r="G140" s="37"/>
      <c r="H140" s="35"/>
      <c r="I140" s="37">
        <v>0.1</v>
      </c>
      <c r="J140" s="37">
        <v>120</v>
      </c>
      <c r="K140" s="36" t="s">
        <v>101</v>
      </c>
      <c r="L140" s="37">
        <v>0</v>
      </c>
      <c r="M140" s="35"/>
      <c r="N140" s="35"/>
      <c r="O140" s="36" t="s">
        <v>110</v>
      </c>
      <c r="P140" s="37" t="b">
        <v>0</v>
      </c>
      <c r="Q140" s="37">
        <v>7.4569899999999995E-2</v>
      </c>
      <c r="R140" s="37">
        <v>0</v>
      </c>
      <c r="S140" s="37" t="b">
        <v>0</v>
      </c>
      <c r="T140" s="35"/>
      <c r="U140" s="37">
        <v>0</v>
      </c>
      <c r="V140" s="35"/>
      <c r="W140" s="35"/>
      <c r="X140" s="35"/>
      <c r="Y140" s="35"/>
      <c r="Z140" s="38"/>
      <c r="AA140" s="36"/>
      <c r="AB140" s="39">
        <v>41481.472905092596</v>
      </c>
      <c r="AC140" s="40">
        <v>259</v>
      </c>
      <c r="AD140" s="36" t="s">
        <v>103</v>
      </c>
      <c r="AE140" s="35" t="s">
        <v>104</v>
      </c>
      <c r="AF140" s="35" t="s">
        <v>105</v>
      </c>
      <c r="AJ140" s="34">
        <f>Table_owssvr_1[[#This Row],[Total Connected Load (kW)]]</f>
        <v>7.4569899999999995E-2</v>
      </c>
      <c r="AK140" s="34">
        <f>Table_owssvr_1[[#This Row],[Total Connected Load (kW)]]</f>
        <v>7.4569899999999995E-2</v>
      </c>
    </row>
    <row r="141" spans="1:37">
      <c r="A141" s="35"/>
      <c r="B141" s="35" t="s">
        <v>300</v>
      </c>
      <c r="C141" s="36" t="s">
        <v>183</v>
      </c>
      <c r="D141" s="35"/>
      <c r="E141" s="37" t="b">
        <v>1</v>
      </c>
      <c r="F141" s="37" t="b">
        <v>0</v>
      </c>
      <c r="G141" s="37"/>
      <c r="H141" s="35"/>
      <c r="I141" s="37">
        <v>0.1</v>
      </c>
      <c r="J141" s="37">
        <v>120</v>
      </c>
      <c r="K141" s="36" t="s">
        <v>101</v>
      </c>
      <c r="L141" s="37">
        <v>0</v>
      </c>
      <c r="M141" s="35"/>
      <c r="N141" s="35"/>
      <c r="O141" s="36" t="s">
        <v>110</v>
      </c>
      <c r="P141" s="37" t="b">
        <v>0</v>
      </c>
      <c r="Q141" s="37">
        <v>7.4569899999999995E-2</v>
      </c>
      <c r="R141" s="37">
        <v>0</v>
      </c>
      <c r="S141" s="37" t="b">
        <v>0</v>
      </c>
      <c r="T141" s="35"/>
      <c r="U141" s="37">
        <v>0</v>
      </c>
      <c r="V141" s="35"/>
      <c r="W141" s="35"/>
      <c r="X141" s="35"/>
      <c r="Y141" s="35"/>
      <c r="Z141" s="38"/>
      <c r="AA141" s="36"/>
      <c r="AB141" s="39">
        <v>41481.472928240742</v>
      </c>
      <c r="AC141" s="40">
        <v>260</v>
      </c>
      <c r="AD141" s="36" t="s">
        <v>103</v>
      </c>
      <c r="AE141" s="35" t="s">
        <v>104</v>
      </c>
      <c r="AF141" s="35" t="s">
        <v>105</v>
      </c>
      <c r="AJ141" s="34">
        <f>Table_owssvr_1[[#This Row],[Total Connected Load (kW)]]</f>
        <v>7.4569899999999995E-2</v>
      </c>
      <c r="AK141" s="34">
        <f>Table_owssvr_1[[#This Row],[Total Connected Load (kW)]]</f>
        <v>7.4569899999999995E-2</v>
      </c>
    </row>
    <row r="142" spans="1:37">
      <c r="A142" s="35"/>
      <c r="B142" s="35" t="s">
        <v>301</v>
      </c>
      <c r="C142" s="36" t="s">
        <v>183</v>
      </c>
      <c r="D142" s="35"/>
      <c r="E142" s="37" t="b">
        <v>1</v>
      </c>
      <c r="F142" s="37" t="b">
        <v>0</v>
      </c>
      <c r="G142" s="37"/>
      <c r="H142" s="35"/>
      <c r="I142" s="37">
        <v>0.1</v>
      </c>
      <c r="J142" s="37">
        <v>120</v>
      </c>
      <c r="K142" s="36" t="s">
        <v>101</v>
      </c>
      <c r="L142" s="37">
        <v>0</v>
      </c>
      <c r="M142" s="35"/>
      <c r="N142" s="35"/>
      <c r="O142" s="36" t="s">
        <v>110</v>
      </c>
      <c r="P142" s="37" t="b">
        <v>0</v>
      </c>
      <c r="Q142" s="37">
        <v>7.4569899999999995E-2</v>
      </c>
      <c r="R142" s="37">
        <v>0</v>
      </c>
      <c r="S142" s="37" t="b">
        <v>0</v>
      </c>
      <c r="T142" s="35"/>
      <c r="U142" s="37">
        <v>0</v>
      </c>
      <c r="V142" s="35"/>
      <c r="W142" s="35"/>
      <c r="X142" s="35"/>
      <c r="Y142" s="35"/>
      <c r="Z142" s="38"/>
      <c r="AA142" s="36"/>
      <c r="AB142" s="39">
        <v>41481.472928240742</v>
      </c>
      <c r="AC142" s="40">
        <v>261</v>
      </c>
      <c r="AD142" s="36" t="s">
        <v>103</v>
      </c>
      <c r="AE142" s="35" t="s">
        <v>104</v>
      </c>
      <c r="AF142" s="35" t="s">
        <v>105</v>
      </c>
      <c r="AJ142" s="34">
        <f>Table_owssvr_1[[#This Row],[Total Connected Load (kW)]]</f>
        <v>7.4569899999999995E-2</v>
      </c>
      <c r="AK142" s="34">
        <f>Table_owssvr_1[[#This Row],[Total Connected Load (kW)]]</f>
        <v>7.4569899999999995E-2</v>
      </c>
    </row>
    <row r="143" spans="1:37">
      <c r="A143" s="35"/>
      <c r="B143" s="35" t="s">
        <v>302</v>
      </c>
      <c r="C143" s="36" t="s">
        <v>183</v>
      </c>
      <c r="D143" s="35"/>
      <c r="E143" s="37" t="b">
        <v>1</v>
      </c>
      <c r="F143" s="37" t="b">
        <v>0</v>
      </c>
      <c r="G143" s="37"/>
      <c r="H143" s="35"/>
      <c r="I143" s="37">
        <v>0.1</v>
      </c>
      <c r="J143" s="37">
        <v>120</v>
      </c>
      <c r="K143" s="36" t="s">
        <v>101</v>
      </c>
      <c r="L143" s="37">
        <v>0</v>
      </c>
      <c r="M143" s="35"/>
      <c r="N143" s="35"/>
      <c r="O143" s="36" t="s">
        <v>110</v>
      </c>
      <c r="P143" s="37" t="b">
        <v>0</v>
      </c>
      <c r="Q143" s="37">
        <v>7.4569899999999995E-2</v>
      </c>
      <c r="R143" s="37">
        <v>0</v>
      </c>
      <c r="S143" s="37" t="b">
        <v>0</v>
      </c>
      <c r="T143" s="35"/>
      <c r="U143" s="37">
        <v>0</v>
      </c>
      <c r="V143" s="35"/>
      <c r="W143" s="35"/>
      <c r="X143" s="35"/>
      <c r="Y143" s="35"/>
      <c r="Z143" s="38"/>
      <c r="AA143" s="36"/>
      <c r="AB143" s="39">
        <v>41481.472928240742</v>
      </c>
      <c r="AC143" s="40">
        <v>262</v>
      </c>
      <c r="AD143" s="36" t="s">
        <v>103</v>
      </c>
      <c r="AE143" s="35" t="s">
        <v>104</v>
      </c>
      <c r="AF143" s="35" t="s">
        <v>105</v>
      </c>
      <c r="AJ143" s="34">
        <f>Table_owssvr_1[[#This Row],[Total Connected Load (kW)]]</f>
        <v>7.4569899999999995E-2</v>
      </c>
      <c r="AK143" s="34">
        <f>Table_owssvr_1[[#This Row],[Total Connected Load (kW)]]</f>
        <v>7.4569899999999995E-2</v>
      </c>
    </row>
    <row r="144" spans="1:37">
      <c r="A144" s="35"/>
      <c r="B144" s="35" t="s">
        <v>303</v>
      </c>
      <c r="C144" s="36" t="s">
        <v>183</v>
      </c>
      <c r="D144" s="35"/>
      <c r="E144" s="37" t="b">
        <v>0</v>
      </c>
      <c r="F144" s="37" t="b">
        <v>1</v>
      </c>
      <c r="G144" s="37"/>
      <c r="H144" s="35"/>
      <c r="I144" s="37">
        <v>20</v>
      </c>
      <c r="J144" s="37">
        <v>480</v>
      </c>
      <c r="K144" s="36" t="s">
        <v>101</v>
      </c>
      <c r="L144" s="37">
        <v>0</v>
      </c>
      <c r="M144" s="35"/>
      <c r="N144" s="35"/>
      <c r="O144" s="36" t="s">
        <v>102</v>
      </c>
      <c r="P144" s="37" t="b">
        <v>0</v>
      </c>
      <c r="Q144" s="37">
        <v>14.91398</v>
      </c>
      <c r="R144" s="37">
        <v>0</v>
      </c>
      <c r="S144" s="37" t="b">
        <v>0</v>
      </c>
      <c r="T144" s="35"/>
      <c r="U144" s="37">
        <v>0</v>
      </c>
      <c r="V144" s="35"/>
      <c r="W144" s="35"/>
      <c r="X144" s="35"/>
      <c r="Y144" s="35"/>
      <c r="Z144" s="38"/>
      <c r="AA144" s="36"/>
      <c r="AB144" s="39">
        <v>41481.472928240742</v>
      </c>
      <c r="AC144" s="40">
        <v>274</v>
      </c>
      <c r="AD144" s="36" t="s">
        <v>103</v>
      </c>
      <c r="AE144" s="35" t="s">
        <v>104</v>
      </c>
      <c r="AF144" s="35" t="s">
        <v>105</v>
      </c>
      <c r="AJ144" s="34">
        <f>Table_owssvr_1[[#This Row],[Total Connected Load (kW)]]</f>
        <v>14.91398</v>
      </c>
      <c r="AK144" s="34">
        <v>0</v>
      </c>
    </row>
    <row r="145" spans="1:38" hidden="1">
      <c r="A145" s="35"/>
      <c r="B145" s="35" t="s">
        <v>304</v>
      </c>
      <c r="C145" s="36" t="s">
        <v>183</v>
      </c>
      <c r="D145" s="35"/>
      <c r="E145" s="37" t="b">
        <v>1</v>
      </c>
      <c r="F145" s="37" t="b">
        <v>0</v>
      </c>
      <c r="G145" s="37"/>
      <c r="H145" s="35"/>
      <c r="I145" s="37">
        <v>0</v>
      </c>
      <c r="J145" s="37"/>
      <c r="K145" s="36" t="s">
        <v>101</v>
      </c>
      <c r="L145" s="37">
        <v>0</v>
      </c>
      <c r="M145" s="35"/>
      <c r="N145" s="35"/>
      <c r="O145" s="36" t="s">
        <v>102</v>
      </c>
      <c r="P145" s="37" t="b">
        <v>0</v>
      </c>
      <c r="Q145" s="37">
        <v>0</v>
      </c>
      <c r="R145" s="37">
        <v>0</v>
      </c>
      <c r="S145" s="37" t="b">
        <v>0</v>
      </c>
      <c r="T145" s="35"/>
      <c r="U145" s="37">
        <v>0</v>
      </c>
      <c r="V145" s="35"/>
      <c r="W145" s="35"/>
      <c r="X145" s="35"/>
      <c r="Y145" s="35"/>
      <c r="Z145" s="38"/>
      <c r="AA145" s="36"/>
      <c r="AB145" s="39">
        <v>41481.472928240742</v>
      </c>
      <c r="AC145" s="40">
        <v>276</v>
      </c>
      <c r="AD145" s="36" t="s">
        <v>103</v>
      </c>
      <c r="AE145" s="35" t="s">
        <v>104</v>
      </c>
      <c r="AF145" s="35" t="s">
        <v>105</v>
      </c>
    </row>
    <row r="146" spans="1:38">
      <c r="A146" s="35"/>
      <c r="B146" s="35" t="s">
        <v>305</v>
      </c>
      <c r="C146" s="36" t="s">
        <v>183</v>
      </c>
      <c r="D146" s="35"/>
      <c r="E146" s="37" t="b">
        <v>1</v>
      </c>
      <c r="F146" s="37" t="b">
        <v>0</v>
      </c>
      <c r="G146" s="37"/>
      <c r="H146" s="35"/>
      <c r="I146" s="37">
        <v>0.17</v>
      </c>
      <c r="J146" s="37"/>
      <c r="K146" s="36" t="s">
        <v>101</v>
      </c>
      <c r="L146" s="37">
        <v>0.1</v>
      </c>
      <c r="M146" s="35"/>
      <c r="N146" s="35"/>
      <c r="O146" s="36" t="s">
        <v>110</v>
      </c>
      <c r="P146" s="37" t="b">
        <v>0</v>
      </c>
      <c r="Q146" s="37">
        <v>0.12676883</v>
      </c>
      <c r="R146" s="37">
        <v>7.4569899999999995E-2</v>
      </c>
      <c r="S146" s="37" t="b">
        <v>0</v>
      </c>
      <c r="T146" s="35"/>
      <c r="U146" s="37">
        <v>0</v>
      </c>
      <c r="V146" s="35"/>
      <c r="W146" s="35"/>
      <c r="X146" s="35"/>
      <c r="Y146" s="35"/>
      <c r="Z146" s="38"/>
      <c r="AA146" s="36"/>
      <c r="AB146" s="39">
        <v>41481.472928240742</v>
      </c>
      <c r="AC146" s="40">
        <v>282</v>
      </c>
      <c r="AD146" s="36" t="s">
        <v>103</v>
      </c>
      <c r="AE146" s="35" t="s">
        <v>104</v>
      </c>
      <c r="AF146" s="35" t="s">
        <v>105</v>
      </c>
      <c r="AJ146" s="34">
        <f>Table_owssvr_1[[#This Row],[Total Expected Load (kW)]]</f>
        <v>7.4569899999999995E-2</v>
      </c>
      <c r="AK146" s="34">
        <f>Table_owssvr_1[[#This Row],[Total Expected Load (kW)]]</f>
        <v>7.4569899999999995E-2</v>
      </c>
    </row>
    <row r="147" spans="1:38">
      <c r="A147" s="35"/>
      <c r="B147" s="35" t="s">
        <v>306</v>
      </c>
      <c r="C147" s="36" t="s">
        <v>183</v>
      </c>
      <c r="D147" s="35" t="s">
        <v>307</v>
      </c>
      <c r="E147" s="37" t="b">
        <v>1</v>
      </c>
      <c r="F147" s="37" t="b">
        <v>0</v>
      </c>
      <c r="G147" s="37"/>
      <c r="H147" s="35"/>
      <c r="I147" s="37">
        <v>0</v>
      </c>
      <c r="J147" s="37">
        <v>480</v>
      </c>
      <c r="K147" s="36" t="s">
        <v>101</v>
      </c>
      <c r="L147" s="37">
        <v>0</v>
      </c>
      <c r="M147" s="35"/>
      <c r="N147" s="35"/>
      <c r="O147" s="36" t="s">
        <v>110</v>
      </c>
      <c r="P147" s="37" t="b">
        <v>0</v>
      </c>
      <c r="Q147" s="97">
        <v>19</v>
      </c>
      <c r="R147" s="37">
        <v>0</v>
      </c>
      <c r="S147" s="37" t="b">
        <v>0</v>
      </c>
      <c r="T147" s="35"/>
      <c r="U147" s="37">
        <v>0</v>
      </c>
      <c r="V147" s="35"/>
      <c r="W147" s="35"/>
      <c r="X147" s="35"/>
      <c r="Y147" s="35"/>
      <c r="Z147" s="38"/>
      <c r="AA147" s="36"/>
      <c r="AB147" s="39">
        <v>41484.428020833337</v>
      </c>
      <c r="AC147" s="40">
        <v>287</v>
      </c>
      <c r="AD147" s="36" t="s">
        <v>103</v>
      </c>
      <c r="AE147" s="35" t="s">
        <v>104</v>
      </c>
      <c r="AF147" s="35" t="s">
        <v>105</v>
      </c>
      <c r="AJ147" s="34">
        <f>Table_owssvr_1[[#This Row],[Total Connected Load (kW)]]</f>
        <v>19</v>
      </c>
      <c r="AK147" s="34">
        <v>0</v>
      </c>
      <c r="AL147" s="34" t="s">
        <v>629</v>
      </c>
    </row>
    <row r="148" spans="1:38">
      <c r="A148" s="35"/>
      <c r="B148" s="35" t="s">
        <v>308</v>
      </c>
      <c r="C148" s="36" t="s">
        <v>183</v>
      </c>
      <c r="D148" s="35" t="s">
        <v>307</v>
      </c>
      <c r="E148" s="37" t="b">
        <v>1</v>
      </c>
      <c r="F148" s="37" t="b">
        <v>0</v>
      </c>
      <c r="G148" s="37"/>
      <c r="H148" s="35"/>
      <c r="I148" s="37">
        <v>0</v>
      </c>
      <c r="J148" s="37">
        <v>480</v>
      </c>
      <c r="K148" s="36" t="s">
        <v>101</v>
      </c>
      <c r="L148" s="37">
        <v>0</v>
      </c>
      <c r="M148" s="35"/>
      <c r="N148" s="35"/>
      <c r="O148" s="36" t="s">
        <v>110</v>
      </c>
      <c r="P148" s="37" t="b">
        <v>0</v>
      </c>
      <c r="Q148" s="97">
        <v>19</v>
      </c>
      <c r="R148" s="37">
        <v>0</v>
      </c>
      <c r="S148" s="37" t="b">
        <v>0</v>
      </c>
      <c r="T148" s="35"/>
      <c r="U148" s="37">
        <v>0</v>
      </c>
      <c r="V148" s="35"/>
      <c r="W148" s="35"/>
      <c r="X148" s="35"/>
      <c r="Y148" s="35"/>
      <c r="Z148" s="38"/>
      <c r="AA148" s="36"/>
      <c r="AB148" s="39">
        <v>41484.428171296298</v>
      </c>
      <c r="AC148" s="40">
        <v>288</v>
      </c>
      <c r="AD148" s="36" t="s">
        <v>103</v>
      </c>
      <c r="AE148" s="35" t="s">
        <v>104</v>
      </c>
      <c r="AF148" s="35" t="s">
        <v>105</v>
      </c>
      <c r="AJ148" s="34">
        <f>Table_owssvr_1[[#This Row],[Total Connected Load (kW)]]</f>
        <v>19</v>
      </c>
      <c r="AK148" s="34">
        <v>0</v>
      </c>
      <c r="AL148" s="34" t="s">
        <v>629</v>
      </c>
    </row>
    <row r="149" spans="1:38">
      <c r="A149" s="35"/>
      <c r="B149" s="35" t="s">
        <v>309</v>
      </c>
      <c r="C149" s="36" t="s">
        <v>183</v>
      </c>
      <c r="D149" s="35" t="s">
        <v>307</v>
      </c>
      <c r="E149" s="37" t="b">
        <v>1</v>
      </c>
      <c r="F149" s="37" t="b">
        <v>0</v>
      </c>
      <c r="G149" s="37"/>
      <c r="H149" s="35"/>
      <c r="I149" s="37">
        <v>0</v>
      </c>
      <c r="J149" s="37">
        <v>480</v>
      </c>
      <c r="K149" s="36" t="s">
        <v>101</v>
      </c>
      <c r="L149" s="37">
        <v>0</v>
      </c>
      <c r="M149" s="35"/>
      <c r="N149" s="35"/>
      <c r="O149" s="36" t="s">
        <v>110</v>
      </c>
      <c r="P149" s="37" t="b">
        <v>0</v>
      </c>
      <c r="Q149" s="97">
        <v>19</v>
      </c>
      <c r="R149" s="37">
        <v>0</v>
      </c>
      <c r="S149" s="37" t="b">
        <v>0</v>
      </c>
      <c r="T149" s="35"/>
      <c r="U149" s="37">
        <v>0</v>
      </c>
      <c r="V149" s="35"/>
      <c r="W149" s="35"/>
      <c r="X149" s="35"/>
      <c r="Y149" s="35"/>
      <c r="Z149" s="38"/>
      <c r="AA149" s="36"/>
      <c r="AB149" s="39">
        <v>41484.428831018522</v>
      </c>
      <c r="AC149" s="40">
        <v>289</v>
      </c>
      <c r="AD149" s="36" t="s">
        <v>103</v>
      </c>
      <c r="AE149" s="35" t="s">
        <v>104</v>
      </c>
      <c r="AF149" s="35" t="s">
        <v>105</v>
      </c>
      <c r="AJ149" s="34">
        <f>Table_owssvr_1[[#This Row],[Total Connected Load (kW)]]</f>
        <v>19</v>
      </c>
      <c r="AK149" s="34">
        <v>0</v>
      </c>
      <c r="AL149" s="34" t="s">
        <v>629</v>
      </c>
    </row>
    <row r="150" spans="1:38">
      <c r="A150" s="35"/>
      <c r="B150" s="35" t="s">
        <v>310</v>
      </c>
      <c r="C150" s="36" t="s">
        <v>183</v>
      </c>
      <c r="D150" s="35" t="s">
        <v>307</v>
      </c>
      <c r="E150" s="37" t="b">
        <v>1</v>
      </c>
      <c r="F150" s="37" t="b">
        <v>0</v>
      </c>
      <c r="G150" s="37"/>
      <c r="H150" s="35"/>
      <c r="I150" s="37">
        <v>0</v>
      </c>
      <c r="J150" s="37">
        <v>480</v>
      </c>
      <c r="K150" s="36" t="s">
        <v>101</v>
      </c>
      <c r="L150" s="37">
        <v>0</v>
      </c>
      <c r="M150" s="35"/>
      <c r="N150" s="35"/>
      <c r="O150" s="36" t="s">
        <v>110</v>
      </c>
      <c r="P150" s="37" t="b">
        <v>0</v>
      </c>
      <c r="Q150" s="97">
        <v>19</v>
      </c>
      <c r="R150" s="37">
        <v>0</v>
      </c>
      <c r="S150" s="37" t="b">
        <v>0</v>
      </c>
      <c r="T150" s="35"/>
      <c r="U150" s="37">
        <v>0</v>
      </c>
      <c r="V150" s="35"/>
      <c r="W150" s="35"/>
      <c r="X150" s="35"/>
      <c r="Y150" s="35"/>
      <c r="Z150" s="38"/>
      <c r="AA150" s="36"/>
      <c r="AB150" s="39">
        <v>41484.428842592592</v>
      </c>
      <c r="AC150" s="40">
        <v>290</v>
      </c>
      <c r="AD150" s="36" t="s">
        <v>103</v>
      </c>
      <c r="AE150" s="35" t="s">
        <v>104</v>
      </c>
      <c r="AF150" s="35" t="s">
        <v>105</v>
      </c>
      <c r="AJ150" s="34">
        <f>Table_owssvr_1[[#This Row],[Total Connected Load (kW)]]</f>
        <v>19</v>
      </c>
      <c r="AK150" s="34">
        <v>0</v>
      </c>
      <c r="AL150" s="34" t="s">
        <v>629</v>
      </c>
    </row>
    <row r="151" spans="1:38">
      <c r="A151" s="35"/>
      <c r="B151" s="35" t="s">
        <v>311</v>
      </c>
      <c r="C151" s="36" t="s">
        <v>183</v>
      </c>
      <c r="D151" s="35" t="s">
        <v>307</v>
      </c>
      <c r="E151" s="37" t="b">
        <v>1</v>
      </c>
      <c r="F151" s="37" t="b">
        <v>0</v>
      </c>
      <c r="G151" s="37"/>
      <c r="H151" s="35"/>
      <c r="I151" s="37">
        <v>0</v>
      </c>
      <c r="J151" s="37">
        <v>480</v>
      </c>
      <c r="K151" s="36" t="s">
        <v>101</v>
      </c>
      <c r="L151" s="37">
        <v>0</v>
      </c>
      <c r="M151" s="35"/>
      <c r="N151" s="35"/>
      <c r="O151" s="36" t="s">
        <v>110</v>
      </c>
      <c r="P151" s="37" t="b">
        <v>0</v>
      </c>
      <c r="Q151" s="97">
        <v>19</v>
      </c>
      <c r="R151" s="37">
        <v>0</v>
      </c>
      <c r="S151" s="37" t="b">
        <v>0</v>
      </c>
      <c r="T151" s="35"/>
      <c r="U151" s="37">
        <v>0</v>
      </c>
      <c r="V151" s="35"/>
      <c r="W151" s="35"/>
      <c r="X151" s="35"/>
      <c r="Y151" s="35"/>
      <c r="Z151" s="38"/>
      <c r="AA151" s="36"/>
      <c r="AB151" s="39">
        <v>41484.428854166668</v>
      </c>
      <c r="AC151" s="40">
        <v>291</v>
      </c>
      <c r="AD151" s="36" t="s">
        <v>103</v>
      </c>
      <c r="AE151" s="35" t="s">
        <v>104</v>
      </c>
      <c r="AF151" s="35" t="s">
        <v>105</v>
      </c>
      <c r="AJ151" s="34">
        <v>0</v>
      </c>
      <c r="AK151" s="34">
        <v>0</v>
      </c>
      <c r="AL151" s="34" t="s">
        <v>629</v>
      </c>
    </row>
    <row r="152" spans="1:38">
      <c r="A152" s="35"/>
      <c r="B152" s="35" t="s">
        <v>312</v>
      </c>
      <c r="C152" s="36" t="s">
        <v>183</v>
      </c>
      <c r="D152" s="35" t="s">
        <v>307</v>
      </c>
      <c r="E152" s="37" t="b">
        <v>1</v>
      </c>
      <c r="F152" s="37" t="b">
        <v>0</v>
      </c>
      <c r="G152" s="37"/>
      <c r="H152" s="35"/>
      <c r="I152" s="37">
        <v>0</v>
      </c>
      <c r="J152" s="37">
        <v>480</v>
      </c>
      <c r="K152" s="36" t="s">
        <v>101</v>
      </c>
      <c r="L152" s="37">
        <v>0</v>
      </c>
      <c r="M152" s="35"/>
      <c r="N152" s="35"/>
      <c r="O152" s="36" t="s">
        <v>110</v>
      </c>
      <c r="P152" s="37" t="b">
        <v>0</v>
      </c>
      <c r="Q152" s="97">
        <v>19</v>
      </c>
      <c r="R152" s="37">
        <v>0</v>
      </c>
      <c r="S152" s="37" t="b">
        <v>0</v>
      </c>
      <c r="T152" s="35"/>
      <c r="U152" s="37">
        <v>0</v>
      </c>
      <c r="V152" s="35"/>
      <c r="W152" s="35"/>
      <c r="X152" s="35"/>
      <c r="Y152" s="35"/>
      <c r="Z152" s="38"/>
      <c r="AA152" s="36"/>
      <c r="AB152" s="39">
        <v>41484.428842592592</v>
      </c>
      <c r="AC152" s="40">
        <v>292</v>
      </c>
      <c r="AD152" s="36" t="s">
        <v>103</v>
      </c>
      <c r="AE152" s="35" t="s">
        <v>104</v>
      </c>
      <c r="AF152" s="35" t="s">
        <v>105</v>
      </c>
      <c r="AJ152" s="34">
        <v>0</v>
      </c>
      <c r="AK152" s="34">
        <v>0</v>
      </c>
      <c r="AL152" s="34" t="s">
        <v>629</v>
      </c>
    </row>
    <row r="153" spans="1:38">
      <c r="A153" s="35"/>
      <c r="B153" s="35" t="s">
        <v>313</v>
      </c>
      <c r="C153" s="36" t="s">
        <v>183</v>
      </c>
      <c r="D153" s="35" t="s">
        <v>307</v>
      </c>
      <c r="E153" s="37" t="b">
        <v>1</v>
      </c>
      <c r="F153" s="37" t="b">
        <v>0</v>
      </c>
      <c r="G153" s="37"/>
      <c r="H153" s="35"/>
      <c r="I153" s="37">
        <v>0</v>
      </c>
      <c r="J153" s="37">
        <v>480</v>
      </c>
      <c r="K153" s="36" t="s">
        <v>101</v>
      </c>
      <c r="L153" s="37">
        <v>0</v>
      </c>
      <c r="M153" s="35"/>
      <c r="N153" s="35"/>
      <c r="O153" s="36" t="s">
        <v>110</v>
      </c>
      <c r="P153" s="37" t="b">
        <v>0</v>
      </c>
      <c r="Q153" s="97">
        <v>19</v>
      </c>
      <c r="R153" s="37">
        <v>0</v>
      </c>
      <c r="S153" s="37" t="b">
        <v>0</v>
      </c>
      <c r="T153" s="35"/>
      <c r="U153" s="37">
        <v>0</v>
      </c>
      <c r="V153" s="35"/>
      <c r="W153" s="35"/>
      <c r="X153" s="35"/>
      <c r="Y153" s="35"/>
      <c r="Z153" s="38"/>
      <c r="AA153" s="36"/>
      <c r="AB153" s="39">
        <v>41484.428854166668</v>
      </c>
      <c r="AC153" s="40">
        <v>293</v>
      </c>
      <c r="AD153" s="36" t="s">
        <v>103</v>
      </c>
      <c r="AE153" s="35" t="s">
        <v>104</v>
      </c>
      <c r="AF153" s="35" t="s">
        <v>105</v>
      </c>
      <c r="AJ153" s="34">
        <v>0</v>
      </c>
      <c r="AK153" s="34">
        <v>0</v>
      </c>
      <c r="AL153" s="34" t="s">
        <v>629</v>
      </c>
    </row>
    <row r="154" spans="1:38">
      <c r="A154" s="35"/>
      <c r="B154" s="35" t="s">
        <v>314</v>
      </c>
      <c r="C154" s="36" t="s">
        <v>183</v>
      </c>
      <c r="D154" s="35" t="s">
        <v>307</v>
      </c>
      <c r="E154" s="37" t="b">
        <v>1</v>
      </c>
      <c r="F154" s="37" t="b">
        <v>0</v>
      </c>
      <c r="G154" s="37"/>
      <c r="H154" s="35"/>
      <c r="I154" s="37">
        <v>0</v>
      </c>
      <c r="J154" s="37">
        <v>480</v>
      </c>
      <c r="K154" s="36" t="s">
        <v>101</v>
      </c>
      <c r="L154" s="37">
        <v>0</v>
      </c>
      <c r="M154" s="35"/>
      <c r="N154" s="35"/>
      <c r="O154" s="36" t="s">
        <v>110</v>
      </c>
      <c r="P154" s="37" t="b">
        <v>0</v>
      </c>
      <c r="Q154" s="97">
        <v>19</v>
      </c>
      <c r="R154" s="37">
        <v>0</v>
      </c>
      <c r="S154" s="37" t="b">
        <v>0</v>
      </c>
      <c r="T154" s="35"/>
      <c r="U154" s="37">
        <v>0</v>
      </c>
      <c r="V154" s="35"/>
      <c r="W154" s="35"/>
      <c r="X154" s="35"/>
      <c r="Y154" s="35"/>
      <c r="Z154" s="38"/>
      <c r="AA154" s="36"/>
      <c r="AB154" s="39">
        <v>41484.428854166668</v>
      </c>
      <c r="AC154" s="40">
        <v>294</v>
      </c>
      <c r="AD154" s="36" t="s">
        <v>103</v>
      </c>
      <c r="AE154" s="35" t="s">
        <v>104</v>
      </c>
      <c r="AF154" s="35" t="s">
        <v>105</v>
      </c>
      <c r="AJ154" s="34">
        <v>0</v>
      </c>
      <c r="AK154" s="34">
        <v>0</v>
      </c>
      <c r="AL154" s="34" t="s">
        <v>629</v>
      </c>
    </row>
    <row r="155" spans="1:38">
      <c r="A155" s="35"/>
      <c r="B155" s="35" t="s">
        <v>315</v>
      </c>
      <c r="C155" s="36" t="s">
        <v>183</v>
      </c>
      <c r="D155" s="35" t="s">
        <v>307</v>
      </c>
      <c r="E155" s="37" t="b">
        <v>1</v>
      </c>
      <c r="F155" s="37" t="b">
        <v>0</v>
      </c>
      <c r="G155" s="37"/>
      <c r="H155" s="35"/>
      <c r="I155" s="37">
        <v>0</v>
      </c>
      <c r="J155" s="37">
        <v>480</v>
      </c>
      <c r="K155" s="36" t="s">
        <v>101</v>
      </c>
      <c r="L155" s="37">
        <v>0</v>
      </c>
      <c r="M155" s="35"/>
      <c r="N155" s="35"/>
      <c r="O155" s="36" t="s">
        <v>110</v>
      </c>
      <c r="P155" s="37" t="b">
        <v>0</v>
      </c>
      <c r="Q155" s="97">
        <v>19</v>
      </c>
      <c r="R155" s="37">
        <v>0</v>
      </c>
      <c r="S155" s="37" t="b">
        <v>0</v>
      </c>
      <c r="T155" s="35"/>
      <c r="U155" s="37">
        <v>0</v>
      </c>
      <c r="V155" s="35"/>
      <c r="W155" s="35"/>
      <c r="X155" s="35"/>
      <c r="Y155" s="35"/>
      <c r="Z155" s="38"/>
      <c r="AA155" s="36"/>
      <c r="AB155" s="39">
        <v>41484.42895833333</v>
      </c>
      <c r="AC155" s="40">
        <v>295</v>
      </c>
      <c r="AD155" s="36" t="s">
        <v>103</v>
      </c>
      <c r="AE155" s="35" t="s">
        <v>104</v>
      </c>
      <c r="AF155" s="35" t="s">
        <v>105</v>
      </c>
      <c r="AJ155" s="34">
        <v>0</v>
      </c>
      <c r="AK155" s="34">
        <v>0</v>
      </c>
      <c r="AL155" s="34" t="s">
        <v>629</v>
      </c>
    </row>
    <row r="156" spans="1:38" hidden="1">
      <c r="A156" s="35" t="s">
        <v>316</v>
      </c>
      <c r="B156" s="35" t="s">
        <v>317</v>
      </c>
      <c r="C156" s="36" t="s">
        <v>183</v>
      </c>
      <c r="D156" s="35"/>
      <c r="E156" s="37" t="b">
        <v>1</v>
      </c>
      <c r="F156" s="37" t="b">
        <v>0</v>
      </c>
      <c r="G156" s="37" t="b">
        <v>1</v>
      </c>
      <c r="H156" s="35"/>
      <c r="I156" s="37">
        <v>1250</v>
      </c>
      <c r="J156" s="37">
        <v>4160</v>
      </c>
      <c r="K156" s="36" t="s">
        <v>138</v>
      </c>
      <c r="L156" s="37">
        <v>0</v>
      </c>
      <c r="M156" s="35"/>
      <c r="N156" s="35"/>
      <c r="O156" s="36" t="s">
        <v>102</v>
      </c>
      <c r="P156" s="37" t="b">
        <v>0</v>
      </c>
      <c r="Q156" s="37">
        <v>932.12374999999997</v>
      </c>
      <c r="R156" s="37">
        <v>0</v>
      </c>
      <c r="S156" s="37" t="b">
        <v>0</v>
      </c>
      <c r="T156" s="35"/>
      <c r="U156" s="37">
        <v>0</v>
      </c>
      <c r="V156" s="35"/>
      <c r="W156" s="35"/>
      <c r="X156" s="35"/>
      <c r="Y156" s="35"/>
      <c r="Z156" s="38"/>
      <c r="AA156" s="36"/>
      <c r="AB156" s="39">
        <v>41492.688703703701</v>
      </c>
      <c r="AC156" s="40">
        <v>299</v>
      </c>
      <c r="AD156" s="36" t="s">
        <v>103</v>
      </c>
      <c r="AE156" s="35" t="s">
        <v>104</v>
      </c>
      <c r="AF156" s="35" t="s">
        <v>105</v>
      </c>
    </row>
    <row r="157" spans="1:38" hidden="1">
      <c r="A157" s="35" t="s">
        <v>318</v>
      </c>
      <c r="B157" s="35" t="s">
        <v>319</v>
      </c>
      <c r="C157" s="36" t="s">
        <v>183</v>
      </c>
      <c r="D157" s="35"/>
      <c r="E157" s="37" t="b">
        <v>1</v>
      </c>
      <c r="F157" s="37" t="b">
        <v>0</v>
      </c>
      <c r="G157" s="37" t="b">
        <v>1</v>
      </c>
      <c r="H157" s="35"/>
      <c r="I157" s="37">
        <v>1250</v>
      </c>
      <c r="J157" s="37">
        <v>4160</v>
      </c>
      <c r="K157" s="36" t="s">
        <v>138</v>
      </c>
      <c r="L157" s="37">
        <v>0</v>
      </c>
      <c r="M157" s="35"/>
      <c r="N157" s="35"/>
      <c r="O157" s="36" t="s">
        <v>102</v>
      </c>
      <c r="P157" s="37" t="b">
        <v>0</v>
      </c>
      <c r="Q157" s="37">
        <v>932.12374999999997</v>
      </c>
      <c r="R157" s="37">
        <v>0</v>
      </c>
      <c r="S157" s="37" t="b">
        <v>0</v>
      </c>
      <c r="T157" s="35"/>
      <c r="U157" s="37">
        <v>0</v>
      </c>
      <c r="V157" s="35"/>
      <c r="W157" s="35"/>
      <c r="X157" s="35"/>
      <c r="Y157" s="35"/>
      <c r="Z157" s="38"/>
      <c r="AA157" s="36"/>
      <c r="AB157" s="39">
        <v>41492.688703703701</v>
      </c>
      <c r="AC157" s="40">
        <v>300</v>
      </c>
      <c r="AD157" s="36" t="s">
        <v>103</v>
      </c>
      <c r="AE157" s="35" t="s">
        <v>104</v>
      </c>
      <c r="AF157" s="35" t="s">
        <v>105</v>
      </c>
    </row>
    <row r="158" spans="1:38" hidden="1">
      <c r="A158" s="35"/>
      <c r="B158" s="35" t="s">
        <v>320</v>
      </c>
      <c r="C158" s="36" t="s">
        <v>183</v>
      </c>
      <c r="D158" s="35"/>
      <c r="E158" s="37" t="b">
        <v>1</v>
      </c>
      <c r="F158" s="37" t="b">
        <v>0</v>
      </c>
      <c r="G158" s="37" t="b">
        <v>1</v>
      </c>
      <c r="H158" s="35"/>
      <c r="I158" s="37">
        <v>125</v>
      </c>
      <c r="J158" s="37">
        <v>480</v>
      </c>
      <c r="K158" s="36" t="s">
        <v>138</v>
      </c>
      <c r="L158" s="37">
        <v>0</v>
      </c>
      <c r="M158" s="35"/>
      <c r="N158" s="35"/>
      <c r="O158" s="36" t="s">
        <v>102</v>
      </c>
      <c r="P158" s="37" t="b">
        <v>0</v>
      </c>
      <c r="Q158" s="37">
        <v>93.212374999999994</v>
      </c>
      <c r="R158" s="37">
        <v>0</v>
      </c>
      <c r="S158" s="37" t="b">
        <v>0</v>
      </c>
      <c r="T158" s="35"/>
      <c r="U158" s="37">
        <v>0</v>
      </c>
      <c r="V158" s="35"/>
      <c r="W158" s="35"/>
      <c r="X158" s="35"/>
      <c r="Y158" s="35"/>
      <c r="Z158" s="38"/>
      <c r="AA158" s="36"/>
      <c r="AB158" s="39">
        <v>41492.688935185186</v>
      </c>
      <c r="AC158" s="40">
        <v>301</v>
      </c>
      <c r="AD158" s="36" t="s">
        <v>103</v>
      </c>
      <c r="AE158" s="35" t="s">
        <v>104</v>
      </c>
      <c r="AF158" s="35" t="s">
        <v>105</v>
      </c>
    </row>
    <row r="159" spans="1:38" hidden="1">
      <c r="A159" s="35"/>
      <c r="B159" s="35" t="s">
        <v>321</v>
      </c>
      <c r="C159" s="36" t="s">
        <v>183</v>
      </c>
      <c r="D159" s="35"/>
      <c r="E159" s="37" t="b">
        <v>1</v>
      </c>
      <c r="F159" s="37" t="b">
        <v>0</v>
      </c>
      <c r="G159" s="37" t="b">
        <v>1</v>
      </c>
      <c r="H159" s="35"/>
      <c r="I159" s="37">
        <v>125</v>
      </c>
      <c r="J159" s="37">
        <v>480</v>
      </c>
      <c r="K159" s="36" t="s">
        <v>138</v>
      </c>
      <c r="L159" s="37">
        <v>0</v>
      </c>
      <c r="M159" s="35"/>
      <c r="N159" s="35"/>
      <c r="O159" s="36" t="s">
        <v>102</v>
      </c>
      <c r="P159" s="37" t="b">
        <v>0</v>
      </c>
      <c r="Q159" s="37">
        <v>93.212374999999994</v>
      </c>
      <c r="R159" s="37">
        <v>0</v>
      </c>
      <c r="S159" s="37" t="b">
        <v>0</v>
      </c>
      <c r="T159" s="35"/>
      <c r="U159" s="37">
        <v>0</v>
      </c>
      <c r="V159" s="35"/>
      <c r="W159" s="35"/>
      <c r="X159" s="35"/>
      <c r="Y159" s="35"/>
      <c r="Z159" s="38"/>
      <c r="AA159" s="36"/>
      <c r="AB159" s="39">
        <v>41492.689004629632</v>
      </c>
      <c r="AC159" s="40">
        <v>302</v>
      </c>
      <c r="AD159" s="36" t="s">
        <v>103</v>
      </c>
      <c r="AE159" s="35" t="s">
        <v>104</v>
      </c>
      <c r="AF159" s="35" t="s">
        <v>105</v>
      </c>
    </row>
    <row r="160" spans="1:38" hidden="1">
      <c r="A160" s="35"/>
      <c r="B160" s="35" t="s">
        <v>322</v>
      </c>
      <c r="C160" s="36" t="s">
        <v>183</v>
      </c>
      <c r="D160" s="35"/>
      <c r="E160" s="37" t="b">
        <v>1</v>
      </c>
      <c r="F160" s="37" t="b">
        <v>0</v>
      </c>
      <c r="G160" s="37" t="b">
        <v>1</v>
      </c>
      <c r="H160" s="35"/>
      <c r="I160" s="37">
        <v>200</v>
      </c>
      <c r="J160" s="37">
        <v>480</v>
      </c>
      <c r="K160" s="36" t="s">
        <v>138</v>
      </c>
      <c r="L160" s="37">
        <v>0</v>
      </c>
      <c r="M160" s="35"/>
      <c r="N160" s="35"/>
      <c r="O160" s="36" t="s">
        <v>102</v>
      </c>
      <c r="P160" s="37" t="b">
        <v>0</v>
      </c>
      <c r="Q160" s="37">
        <v>149.13980000000001</v>
      </c>
      <c r="R160" s="37">
        <v>0</v>
      </c>
      <c r="S160" s="37" t="b">
        <v>0</v>
      </c>
      <c r="T160" s="35"/>
      <c r="U160" s="37">
        <v>0</v>
      </c>
      <c r="V160" s="35"/>
      <c r="W160" s="35"/>
      <c r="X160" s="35"/>
      <c r="Y160" s="35"/>
      <c r="Z160" s="38"/>
      <c r="AA160" s="36"/>
      <c r="AB160" s="39">
        <v>41492.689328703702</v>
      </c>
      <c r="AC160" s="40">
        <v>303</v>
      </c>
      <c r="AD160" s="36" t="s">
        <v>103</v>
      </c>
      <c r="AE160" s="35" t="s">
        <v>104</v>
      </c>
      <c r="AF160" s="35" t="s">
        <v>105</v>
      </c>
    </row>
    <row r="161" spans="1:38" hidden="1">
      <c r="A161" s="35" t="s">
        <v>323</v>
      </c>
      <c r="B161" s="35" t="s">
        <v>324</v>
      </c>
      <c r="C161" s="36" t="s">
        <v>183</v>
      </c>
      <c r="D161" s="35"/>
      <c r="E161" s="37" t="b">
        <v>1</v>
      </c>
      <c r="F161" s="37" t="b">
        <v>0</v>
      </c>
      <c r="G161" s="37" t="b">
        <v>0</v>
      </c>
      <c r="H161" s="35"/>
      <c r="I161" s="37">
        <v>0</v>
      </c>
      <c r="J161" s="37"/>
      <c r="K161" s="36" t="s">
        <v>101</v>
      </c>
      <c r="L161" s="37">
        <v>0</v>
      </c>
      <c r="M161" s="35"/>
      <c r="N161" s="35"/>
      <c r="O161" s="36" t="s">
        <v>102</v>
      </c>
      <c r="P161" s="37" t="b">
        <v>0</v>
      </c>
      <c r="Q161" s="37">
        <v>0</v>
      </c>
      <c r="R161" s="37">
        <v>0</v>
      </c>
      <c r="S161" s="37" t="b">
        <v>0</v>
      </c>
      <c r="T161" s="35"/>
      <c r="U161" s="37">
        <v>0</v>
      </c>
      <c r="V161" s="35"/>
      <c r="W161" s="35"/>
      <c r="X161" s="35"/>
      <c r="Y161" s="35"/>
      <c r="Z161" s="38"/>
      <c r="AA161" s="36"/>
      <c r="AB161" s="39">
        <v>41493.504525462966</v>
      </c>
      <c r="AC161" s="40">
        <v>309</v>
      </c>
      <c r="AD161" s="36" t="s">
        <v>103</v>
      </c>
      <c r="AE161" s="35" t="s">
        <v>104</v>
      </c>
      <c r="AF161" s="35" t="s">
        <v>105</v>
      </c>
    </row>
    <row r="162" spans="1:38" hidden="1">
      <c r="A162" s="35" t="s">
        <v>325</v>
      </c>
      <c r="B162" s="35" t="s">
        <v>326</v>
      </c>
      <c r="C162" s="36" t="s">
        <v>183</v>
      </c>
      <c r="D162" s="35"/>
      <c r="E162" s="37" t="b">
        <v>1</v>
      </c>
      <c r="F162" s="37" t="b">
        <v>0</v>
      </c>
      <c r="G162" s="37" t="b">
        <v>0</v>
      </c>
      <c r="H162" s="35"/>
      <c r="I162" s="37">
        <v>0</v>
      </c>
      <c r="J162" s="37"/>
      <c r="K162" s="36" t="s">
        <v>101</v>
      </c>
      <c r="L162" s="37">
        <v>0</v>
      </c>
      <c r="M162" s="35"/>
      <c r="N162" s="35"/>
      <c r="O162" s="36" t="s">
        <v>102</v>
      </c>
      <c r="P162" s="37" t="b">
        <v>0</v>
      </c>
      <c r="Q162" s="37">
        <v>0</v>
      </c>
      <c r="R162" s="37">
        <v>0</v>
      </c>
      <c r="S162" s="37" t="b">
        <v>0</v>
      </c>
      <c r="T162" s="35"/>
      <c r="U162" s="37">
        <v>0</v>
      </c>
      <c r="V162" s="35"/>
      <c r="W162" s="35"/>
      <c r="X162" s="35"/>
      <c r="Y162" s="35"/>
      <c r="Z162" s="38"/>
      <c r="AA162" s="36"/>
      <c r="AB162" s="39">
        <v>41493.509027777778</v>
      </c>
      <c r="AC162" s="40">
        <v>311</v>
      </c>
      <c r="AD162" s="36" t="s">
        <v>103</v>
      </c>
      <c r="AE162" s="35" t="s">
        <v>104</v>
      </c>
      <c r="AF162" s="35" t="s">
        <v>105</v>
      </c>
    </row>
    <row r="163" spans="1:38" hidden="1">
      <c r="A163" s="35" t="s">
        <v>327</v>
      </c>
      <c r="B163" s="35" t="s">
        <v>328</v>
      </c>
      <c r="C163" s="36" t="s">
        <v>183</v>
      </c>
      <c r="D163" s="35"/>
      <c r="E163" s="37" t="b">
        <v>1</v>
      </c>
      <c r="F163" s="37" t="b">
        <v>0</v>
      </c>
      <c r="G163" s="37" t="b">
        <v>0</v>
      </c>
      <c r="H163" s="35"/>
      <c r="I163" s="37">
        <v>0</v>
      </c>
      <c r="J163" s="37"/>
      <c r="K163" s="36" t="s">
        <v>101</v>
      </c>
      <c r="L163" s="37">
        <v>0</v>
      </c>
      <c r="M163" s="35"/>
      <c r="N163" s="35"/>
      <c r="O163" s="36" t="s">
        <v>102</v>
      </c>
      <c r="P163" s="37" t="b">
        <v>0</v>
      </c>
      <c r="Q163" s="37">
        <v>0</v>
      </c>
      <c r="R163" s="37">
        <v>0</v>
      </c>
      <c r="S163" s="37" t="b">
        <v>0</v>
      </c>
      <c r="T163" s="35"/>
      <c r="U163" s="37">
        <v>0</v>
      </c>
      <c r="V163" s="35"/>
      <c r="W163" s="35"/>
      <c r="X163" s="35"/>
      <c r="Y163" s="35"/>
      <c r="Z163" s="38"/>
      <c r="AA163" s="36"/>
      <c r="AB163" s="39">
        <v>41493.510428240741</v>
      </c>
      <c r="AC163" s="40">
        <v>312</v>
      </c>
      <c r="AD163" s="36" t="s">
        <v>103</v>
      </c>
      <c r="AE163" s="35" t="s">
        <v>104</v>
      </c>
      <c r="AF163" s="35" t="s">
        <v>105</v>
      </c>
    </row>
    <row r="164" spans="1:38">
      <c r="A164" s="35" t="s">
        <v>329</v>
      </c>
      <c r="B164" s="35" t="s">
        <v>330</v>
      </c>
      <c r="C164" s="36" t="s">
        <v>331</v>
      </c>
      <c r="D164" s="35"/>
      <c r="E164" s="37" t="b">
        <v>1</v>
      </c>
      <c r="F164" s="37" t="b">
        <v>0</v>
      </c>
      <c r="G164" s="37"/>
      <c r="H164" s="35"/>
      <c r="I164" s="37">
        <v>0.25</v>
      </c>
      <c r="J164" s="37">
        <v>120</v>
      </c>
      <c r="K164" s="36" t="s">
        <v>138</v>
      </c>
      <c r="L164" s="37"/>
      <c r="M164" s="35"/>
      <c r="N164" s="35"/>
      <c r="O164" s="36" t="s">
        <v>102</v>
      </c>
      <c r="P164" s="37" t="b">
        <v>0</v>
      </c>
      <c r="Q164" s="37">
        <v>0.18642475</v>
      </c>
      <c r="R164" s="37">
        <v>0</v>
      </c>
      <c r="S164" s="37" t="b">
        <v>0</v>
      </c>
      <c r="T164" s="35"/>
      <c r="U164" s="37">
        <v>0</v>
      </c>
      <c r="V164" s="35"/>
      <c r="W164" s="35"/>
      <c r="X164" s="35"/>
      <c r="Y164" s="35"/>
      <c r="Z164" s="38"/>
      <c r="AA164" s="36"/>
      <c r="AB164" s="39">
        <v>41481.475983796299</v>
      </c>
      <c r="AC164" s="40">
        <v>38</v>
      </c>
      <c r="AD164" s="36" t="s">
        <v>103</v>
      </c>
      <c r="AE164" s="35" t="s">
        <v>104</v>
      </c>
      <c r="AF164" s="35" t="s">
        <v>105</v>
      </c>
      <c r="AJ164" s="34">
        <f>Table_owssvr_1[[#This Row],[Total Connected Load (kW)]]</f>
        <v>0.18642475</v>
      </c>
      <c r="AK164" s="34">
        <f>AJ164</f>
        <v>0.18642475</v>
      </c>
    </row>
    <row r="165" spans="1:38">
      <c r="A165" s="35" t="s">
        <v>332</v>
      </c>
      <c r="B165" s="35" t="s">
        <v>333</v>
      </c>
      <c r="C165" s="36" t="s">
        <v>331</v>
      </c>
      <c r="D165" s="35"/>
      <c r="E165" s="37" t="b">
        <v>0</v>
      </c>
      <c r="F165" s="37" t="b">
        <v>1</v>
      </c>
      <c r="G165" s="37"/>
      <c r="H165" s="35"/>
      <c r="I165" s="37">
        <v>0.25</v>
      </c>
      <c r="J165" s="37">
        <v>120</v>
      </c>
      <c r="K165" s="36" t="s">
        <v>138</v>
      </c>
      <c r="L165" s="37"/>
      <c r="M165" s="35"/>
      <c r="N165" s="35"/>
      <c r="O165" s="36" t="s">
        <v>102</v>
      </c>
      <c r="P165" s="37" t="b">
        <v>0</v>
      </c>
      <c r="Q165" s="37">
        <v>0.18642475</v>
      </c>
      <c r="R165" s="37">
        <v>0</v>
      </c>
      <c r="S165" s="37" t="b">
        <v>0</v>
      </c>
      <c r="T165" s="35"/>
      <c r="U165" s="37">
        <v>0</v>
      </c>
      <c r="V165" s="35"/>
      <c r="W165" s="35"/>
      <c r="X165" s="35"/>
      <c r="Y165" s="35"/>
      <c r="Z165" s="38"/>
      <c r="AA165" s="36"/>
      <c r="AB165" s="39">
        <v>41481.476064814815</v>
      </c>
      <c r="AC165" s="40">
        <v>39</v>
      </c>
      <c r="AD165" s="36" t="s">
        <v>103</v>
      </c>
      <c r="AE165" s="35" t="s">
        <v>104</v>
      </c>
      <c r="AF165" s="35" t="s">
        <v>105</v>
      </c>
      <c r="AJ165" s="34">
        <v>0</v>
      </c>
      <c r="AK165" s="34">
        <v>0</v>
      </c>
      <c r="AL165" s="34" t="s">
        <v>557</v>
      </c>
    </row>
    <row r="166" spans="1:38">
      <c r="A166" s="35" t="s">
        <v>334</v>
      </c>
      <c r="B166" s="35" t="s">
        <v>335</v>
      </c>
      <c r="C166" s="36" t="s">
        <v>331</v>
      </c>
      <c r="D166" s="35"/>
      <c r="E166" s="37" t="b">
        <v>1</v>
      </c>
      <c r="F166" s="37" t="b">
        <v>0</v>
      </c>
      <c r="G166" s="37"/>
      <c r="H166" s="35"/>
      <c r="I166" s="37">
        <v>0.75</v>
      </c>
      <c r="J166" s="37">
        <v>480</v>
      </c>
      <c r="K166" s="36" t="s">
        <v>138</v>
      </c>
      <c r="L166" s="37"/>
      <c r="M166" s="35"/>
      <c r="N166" s="35"/>
      <c r="O166" s="36" t="s">
        <v>102</v>
      </c>
      <c r="P166" s="37" t="b">
        <v>0</v>
      </c>
      <c r="Q166" s="37">
        <v>0.55927424999999997</v>
      </c>
      <c r="R166" s="37">
        <v>0</v>
      </c>
      <c r="S166" s="37" t="b">
        <v>0</v>
      </c>
      <c r="T166" s="35"/>
      <c r="U166" s="37">
        <v>0</v>
      </c>
      <c r="V166" s="35"/>
      <c r="W166" s="35"/>
      <c r="X166" s="35"/>
      <c r="Y166" s="35"/>
      <c r="Z166" s="38"/>
      <c r="AA166" s="36"/>
      <c r="AB166" s="39">
        <v>41494.404513888891</v>
      </c>
      <c r="AC166" s="40">
        <v>40</v>
      </c>
      <c r="AD166" s="36" t="s">
        <v>103</v>
      </c>
      <c r="AE166" s="35" t="s">
        <v>104</v>
      </c>
      <c r="AF166" s="35" t="s">
        <v>105</v>
      </c>
      <c r="AJ166" s="34">
        <f>Table_owssvr_1[[#This Row],[Total Connected Load (kW)]]</f>
        <v>0.55927424999999997</v>
      </c>
      <c r="AK166" s="34">
        <f>Table_owssvr_1[[#This Row],[Total Connected Load (kW)]]</f>
        <v>0.55927424999999997</v>
      </c>
    </row>
    <row r="167" spans="1:38">
      <c r="A167" s="35" t="s">
        <v>336</v>
      </c>
      <c r="B167" s="35" t="s">
        <v>337</v>
      </c>
      <c r="C167" s="36" t="s">
        <v>331</v>
      </c>
      <c r="D167" s="35"/>
      <c r="E167" s="37" t="b">
        <v>1</v>
      </c>
      <c r="F167" s="37" t="b">
        <v>0</v>
      </c>
      <c r="G167" s="37"/>
      <c r="H167" s="35"/>
      <c r="I167" s="37">
        <v>0.75</v>
      </c>
      <c r="J167" s="37">
        <v>480</v>
      </c>
      <c r="K167" s="36" t="s">
        <v>138</v>
      </c>
      <c r="L167" s="37"/>
      <c r="M167" s="35"/>
      <c r="N167" s="35"/>
      <c r="O167" s="36" t="s">
        <v>102</v>
      </c>
      <c r="P167" s="37" t="b">
        <v>0</v>
      </c>
      <c r="Q167" s="37">
        <v>0.55927424999999997</v>
      </c>
      <c r="R167" s="37">
        <v>0</v>
      </c>
      <c r="S167" s="37" t="b">
        <v>0</v>
      </c>
      <c r="T167" s="35"/>
      <c r="U167" s="37">
        <v>0</v>
      </c>
      <c r="V167" s="35"/>
      <c r="W167" s="35"/>
      <c r="X167" s="35"/>
      <c r="Y167" s="35"/>
      <c r="Z167" s="38"/>
      <c r="AA167" s="36"/>
      <c r="AB167" s="39">
        <v>41494.404641203706</v>
      </c>
      <c r="AC167" s="40">
        <v>41</v>
      </c>
      <c r="AD167" s="36" t="s">
        <v>103</v>
      </c>
      <c r="AE167" s="35" t="s">
        <v>104</v>
      </c>
      <c r="AF167" s="35" t="s">
        <v>105</v>
      </c>
      <c r="AJ167" s="34">
        <f>Table_owssvr_1[[#This Row],[Total Connected Load (kW)]]</f>
        <v>0.55927424999999997</v>
      </c>
      <c r="AK167" s="34">
        <f>Table_owssvr_1[[#This Row],[Total Connected Load (kW)]]</f>
        <v>0.55927424999999997</v>
      </c>
    </row>
    <row r="168" spans="1:38">
      <c r="A168" s="35" t="s">
        <v>338</v>
      </c>
      <c r="B168" s="35" t="s">
        <v>339</v>
      </c>
      <c r="C168" s="36" t="s">
        <v>331</v>
      </c>
      <c r="D168" s="35"/>
      <c r="E168" s="37" t="b">
        <v>1</v>
      </c>
      <c r="F168" s="37" t="b">
        <v>0</v>
      </c>
      <c r="G168" s="37" t="b">
        <v>0</v>
      </c>
      <c r="H168" s="35"/>
      <c r="I168" s="37">
        <v>0.75</v>
      </c>
      <c r="J168" s="37">
        <v>480</v>
      </c>
      <c r="K168" s="36" t="s">
        <v>138</v>
      </c>
      <c r="L168" s="37"/>
      <c r="M168" s="35"/>
      <c r="N168" s="35"/>
      <c r="O168" s="36" t="s">
        <v>102</v>
      </c>
      <c r="P168" s="37" t="b">
        <v>0</v>
      </c>
      <c r="Q168" s="37">
        <v>0.55927424999999997</v>
      </c>
      <c r="R168" s="37">
        <v>0</v>
      </c>
      <c r="S168" s="37" t="b">
        <v>0</v>
      </c>
      <c r="T168" s="35"/>
      <c r="U168" s="37">
        <v>0</v>
      </c>
      <c r="V168" s="35"/>
      <c r="W168" s="35"/>
      <c r="X168" s="35"/>
      <c r="Y168" s="35"/>
      <c r="Z168" s="38"/>
      <c r="AA168" s="36"/>
      <c r="AB168" s="39">
        <v>41494.404722222222</v>
      </c>
      <c r="AC168" s="40">
        <v>42</v>
      </c>
      <c r="AD168" s="36" t="s">
        <v>103</v>
      </c>
      <c r="AE168" s="35" t="s">
        <v>104</v>
      </c>
      <c r="AF168" s="35" t="s">
        <v>105</v>
      </c>
      <c r="AJ168" s="34">
        <v>0</v>
      </c>
      <c r="AK168" s="34">
        <v>0</v>
      </c>
    </row>
    <row r="169" spans="1:38">
      <c r="A169" s="35" t="s">
        <v>340</v>
      </c>
      <c r="B169" s="35" t="s">
        <v>341</v>
      </c>
      <c r="C169" s="36" t="s">
        <v>331</v>
      </c>
      <c r="D169" s="35"/>
      <c r="E169" s="37" t="b">
        <v>1</v>
      </c>
      <c r="F169" s="37" t="b">
        <v>0</v>
      </c>
      <c r="G169" s="37"/>
      <c r="H169" s="35"/>
      <c r="I169" s="37">
        <v>0.5</v>
      </c>
      <c r="J169" s="37">
        <v>480</v>
      </c>
      <c r="K169" s="36" t="s">
        <v>138</v>
      </c>
      <c r="L169" s="37"/>
      <c r="M169" s="35"/>
      <c r="N169" s="35"/>
      <c r="O169" s="36" t="s">
        <v>102</v>
      </c>
      <c r="P169" s="37" t="b">
        <v>0</v>
      </c>
      <c r="Q169" s="37">
        <v>0.3728495</v>
      </c>
      <c r="R169" s="37">
        <v>0</v>
      </c>
      <c r="S169" s="37" t="b">
        <v>0</v>
      </c>
      <c r="T169" s="35"/>
      <c r="U169" s="37">
        <v>0</v>
      </c>
      <c r="V169" s="35"/>
      <c r="W169" s="35"/>
      <c r="X169" s="35"/>
      <c r="Y169" s="35"/>
      <c r="Z169" s="38"/>
      <c r="AA169" s="36"/>
      <c r="AB169" s="39">
        <v>41494.404826388891</v>
      </c>
      <c r="AC169" s="40">
        <v>43</v>
      </c>
      <c r="AD169" s="36" t="s">
        <v>103</v>
      </c>
      <c r="AE169" s="35" t="s">
        <v>104</v>
      </c>
      <c r="AF169" s="35" t="s">
        <v>105</v>
      </c>
      <c r="AJ169" s="34">
        <f>Table_owssvr_1[[#This Row],[Total Connected Load (kW)]]</f>
        <v>0.3728495</v>
      </c>
      <c r="AK169" s="34">
        <v>0</v>
      </c>
      <c r="AL169" s="34" t="s">
        <v>552</v>
      </c>
    </row>
    <row r="170" spans="1:38">
      <c r="A170" s="35" t="s">
        <v>342</v>
      </c>
      <c r="B170" s="35" t="s">
        <v>343</v>
      </c>
      <c r="C170" s="36" t="s">
        <v>331</v>
      </c>
      <c r="D170" s="35"/>
      <c r="E170" s="37" t="b">
        <v>1</v>
      </c>
      <c r="F170" s="37" t="b">
        <v>0</v>
      </c>
      <c r="G170" s="37"/>
      <c r="H170" s="35"/>
      <c r="I170" s="37">
        <v>0.5</v>
      </c>
      <c r="J170" s="37">
        <v>480</v>
      </c>
      <c r="K170" s="36" t="s">
        <v>138</v>
      </c>
      <c r="L170" s="37"/>
      <c r="M170" s="35"/>
      <c r="N170" s="35"/>
      <c r="O170" s="36" t="s">
        <v>102</v>
      </c>
      <c r="P170" s="37" t="b">
        <v>0</v>
      </c>
      <c r="Q170" s="37">
        <v>0.3728495</v>
      </c>
      <c r="R170" s="37">
        <v>0</v>
      </c>
      <c r="S170" s="37" t="b">
        <v>0</v>
      </c>
      <c r="T170" s="35"/>
      <c r="U170" s="37">
        <v>0</v>
      </c>
      <c r="V170" s="35"/>
      <c r="W170" s="35"/>
      <c r="X170" s="35"/>
      <c r="Y170" s="35"/>
      <c r="Z170" s="38"/>
      <c r="AA170" s="36"/>
      <c r="AB170" s="39">
        <v>41493.676469907405</v>
      </c>
      <c r="AC170" s="40">
        <v>44</v>
      </c>
      <c r="AD170" s="36" t="s">
        <v>103</v>
      </c>
      <c r="AE170" s="35" t="s">
        <v>104</v>
      </c>
      <c r="AF170" s="35" t="s">
        <v>105</v>
      </c>
      <c r="AJ170" s="34">
        <f>Table_owssvr_1[[#This Row],[Total Connected Load (kW)]]</f>
        <v>0.3728495</v>
      </c>
      <c r="AK170" s="34">
        <f>Table_owssvr_1[[#This Row],[Total Connected Load (kW)]]</f>
        <v>0.3728495</v>
      </c>
    </row>
    <row r="171" spans="1:38">
      <c r="A171" s="35" t="s">
        <v>344</v>
      </c>
      <c r="B171" s="35" t="s">
        <v>345</v>
      </c>
      <c r="C171" s="36" t="s">
        <v>331</v>
      </c>
      <c r="D171" s="35"/>
      <c r="E171" s="37" t="b">
        <v>0</v>
      </c>
      <c r="F171" s="37" t="b">
        <v>1</v>
      </c>
      <c r="G171" s="37"/>
      <c r="H171" s="35"/>
      <c r="I171" s="37">
        <v>0.5</v>
      </c>
      <c r="J171" s="37">
        <v>480</v>
      </c>
      <c r="K171" s="36" t="s">
        <v>138</v>
      </c>
      <c r="L171" s="37"/>
      <c r="M171" s="35"/>
      <c r="N171" s="35"/>
      <c r="O171" s="36" t="s">
        <v>102</v>
      </c>
      <c r="P171" s="37" t="b">
        <v>0</v>
      </c>
      <c r="Q171" s="37">
        <v>0.3728495</v>
      </c>
      <c r="R171" s="37">
        <v>0</v>
      </c>
      <c r="S171" s="37" t="b">
        <v>0</v>
      </c>
      <c r="T171" s="35"/>
      <c r="U171" s="37">
        <v>0</v>
      </c>
      <c r="V171" s="35"/>
      <c r="W171" s="35"/>
      <c r="X171" s="35"/>
      <c r="Y171" s="35"/>
      <c r="Z171" s="38"/>
      <c r="AA171" s="36"/>
      <c r="AB171" s="39">
        <v>41493.676516203705</v>
      </c>
      <c r="AC171" s="40">
        <v>45</v>
      </c>
      <c r="AD171" s="36" t="s">
        <v>103</v>
      </c>
      <c r="AE171" s="35" t="s">
        <v>104</v>
      </c>
      <c r="AF171" s="35" t="s">
        <v>105</v>
      </c>
      <c r="AJ171" s="34">
        <v>0</v>
      </c>
      <c r="AK171" s="34">
        <v>0</v>
      </c>
    </row>
    <row r="172" spans="1:38">
      <c r="A172" s="35" t="s">
        <v>346</v>
      </c>
      <c r="B172" s="35" t="s">
        <v>347</v>
      </c>
      <c r="C172" s="36" t="s">
        <v>331</v>
      </c>
      <c r="D172" s="35"/>
      <c r="E172" s="37" t="b">
        <v>1</v>
      </c>
      <c r="F172" s="37" t="b">
        <v>0</v>
      </c>
      <c r="G172" s="37"/>
      <c r="H172" s="35"/>
      <c r="I172" s="37">
        <v>0.5</v>
      </c>
      <c r="J172" s="37">
        <v>480</v>
      </c>
      <c r="K172" s="36" t="s">
        <v>138</v>
      </c>
      <c r="L172" s="37"/>
      <c r="M172" s="35"/>
      <c r="N172" s="35"/>
      <c r="O172" s="36" t="s">
        <v>102</v>
      </c>
      <c r="P172" s="37" t="b">
        <v>0</v>
      </c>
      <c r="Q172" s="37">
        <v>0.3728495</v>
      </c>
      <c r="R172" s="37">
        <v>0</v>
      </c>
      <c r="S172" s="37" t="b">
        <v>0</v>
      </c>
      <c r="T172" s="35"/>
      <c r="U172" s="37">
        <v>0</v>
      </c>
      <c r="V172" s="35"/>
      <c r="W172" s="35"/>
      <c r="X172" s="35"/>
      <c r="Y172" s="35"/>
      <c r="Z172" s="38"/>
      <c r="AA172" s="36"/>
      <c r="AB172" s="39">
        <v>41481.472928240742</v>
      </c>
      <c r="AC172" s="40">
        <v>46</v>
      </c>
      <c r="AD172" s="36" t="s">
        <v>103</v>
      </c>
      <c r="AE172" s="35" t="s">
        <v>104</v>
      </c>
      <c r="AF172" s="35" t="s">
        <v>105</v>
      </c>
      <c r="AJ172" s="34">
        <f>Table_owssvr_1[[#This Row],[Total Connected Load (kW)]]</f>
        <v>0.3728495</v>
      </c>
      <c r="AK172" s="34">
        <v>0</v>
      </c>
      <c r="AL172" s="34" t="s">
        <v>551</v>
      </c>
    </row>
    <row r="173" spans="1:38">
      <c r="A173" s="35" t="s">
        <v>348</v>
      </c>
      <c r="B173" s="35" t="s">
        <v>349</v>
      </c>
      <c r="C173" s="36" t="s">
        <v>331</v>
      </c>
      <c r="D173" s="35"/>
      <c r="E173" s="37" t="b">
        <v>1</v>
      </c>
      <c r="F173" s="37" t="b">
        <v>0</v>
      </c>
      <c r="G173" s="37"/>
      <c r="H173" s="35"/>
      <c r="I173" s="37">
        <v>0.5</v>
      </c>
      <c r="J173" s="37">
        <v>480</v>
      </c>
      <c r="K173" s="36" t="s">
        <v>138</v>
      </c>
      <c r="L173" s="37"/>
      <c r="M173" s="35"/>
      <c r="N173" s="35"/>
      <c r="O173" s="36" t="s">
        <v>102</v>
      </c>
      <c r="P173" s="37" t="b">
        <v>0</v>
      </c>
      <c r="Q173" s="37">
        <v>0.3728495</v>
      </c>
      <c r="R173" s="37">
        <v>0</v>
      </c>
      <c r="S173" s="37" t="b">
        <v>0</v>
      </c>
      <c r="T173" s="35"/>
      <c r="U173" s="37">
        <v>0</v>
      </c>
      <c r="V173" s="35"/>
      <c r="W173" s="35"/>
      <c r="X173" s="35"/>
      <c r="Y173" s="35"/>
      <c r="Z173" s="38"/>
      <c r="AA173" s="36"/>
      <c r="AB173" s="39">
        <v>41481.472928240742</v>
      </c>
      <c r="AC173" s="40">
        <v>47</v>
      </c>
      <c r="AD173" s="36" t="s">
        <v>103</v>
      </c>
      <c r="AE173" s="35" t="s">
        <v>104</v>
      </c>
      <c r="AF173" s="35" t="s">
        <v>105</v>
      </c>
      <c r="AJ173" s="34">
        <v>0</v>
      </c>
      <c r="AK173" s="34">
        <v>0</v>
      </c>
      <c r="AL173" s="34" t="s">
        <v>551</v>
      </c>
    </row>
    <row r="174" spans="1:38">
      <c r="A174" s="35" t="s">
        <v>350</v>
      </c>
      <c r="B174" s="35" t="s">
        <v>351</v>
      </c>
      <c r="C174" s="36" t="s">
        <v>331</v>
      </c>
      <c r="D174" s="35"/>
      <c r="E174" s="37" t="b">
        <v>1</v>
      </c>
      <c r="F174" s="37" t="b">
        <v>0</v>
      </c>
      <c r="G174" s="37"/>
      <c r="H174" s="35"/>
      <c r="I174" s="37">
        <v>0.5</v>
      </c>
      <c r="J174" s="37">
        <v>480</v>
      </c>
      <c r="K174" s="36" t="s">
        <v>138</v>
      </c>
      <c r="L174" s="37"/>
      <c r="M174" s="35"/>
      <c r="N174" s="35"/>
      <c r="O174" s="36" t="s">
        <v>102</v>
      </c>
      <c r="P174" s="37" t="b">
        <v>0</v>
      </c>
      <c r="Q174" s="37">
        <v>0.3728495</v>
      </c>
      <c r="R174" s="37">
        <v>0</v>
      </c>
      <c r="S174" s="37" t="b">
        <v>0</v>
      </c>
      <c r="T174" s="35"/>
      <c r="U174" s="37">
        <v>0</v>
      </c>
      <c r="V174" s="35"/>
      <c r="W174" s="35"/>
      <c r="X174" s="35"/>
      <c r="Y174" s="35"/>
      <c r="Z174" s="38"/>
      <c r="AA174" s="36"/>
      <c r="AB174" s="39">
        <v>41493.701689814814</v>
      </c>
      <c r="AC174" s="40">
        <v>48</v>
      </c>
      <c r="AD174" s="36" t="s">
        <v>103</v>
      </c>
      <c r="AE174" s="35" t="s">
        <v>104</v>
      </c>
      <c r="AF174" s="35" t="s">
        <v>105</v>
      </c>
      <c r="AJ174" s="34">
        <f>Table_owssvr_1[[#This Row],[Total Connected Load (kW)]]</f>
        <v>0.3728495</v>
      </c>
      <c r="AK174" s="34">
        <f>Table_owssvr_1[[#This Row],[Total Connected Load (kW)]]</f>
        <v>0.3728495</v>
      </c>
    </row>
    <row r="175" spans="1:38">
      <c r="A175" s="35" t="s">
        <v>352</v>
      </c>
      <c r="B175" s="35" t="s">
        <v>353</v>
      </c>
      <c r="C175" s="36" t="s">
        <v>331</v>
      </c>
      <c r="D175" s="35"/>
      <c r="E175" s="37" t="b">
        <v>0</v>
      </c>
      <c r="F175" s="37" t="b">
        <v>1</v>
      </c>
      <c r="G175" s="37"/>
      <c r="H175" s="35"/>
      <c r="I175" s="37">
        <v>0.5</v>
      </c>
      <c r="J175" s="37">
        <v>480</v>
      </c>
      <c r="K175" s="36" t="s">
        <v>138</v>
      </c>
      <c r="L175" s="37"/>
      <c r="M175" s="35"/>
      <c r="N175" s="35"/>
      <c r="O175" s="36" t="s">
        <v>102</v>
      </c>
      <c r="P175" s="37" t="b">
        <v>0</v>
      </c>
      <c r="Q175" s="37">
        <v>0.3728495</v>
      </c>
      <c r="R175" s="37">
        <v>0</v>
      </c>
      <c r="S175" s="37" t="b">
        <v>0</v>
      </c>
      <c r="T175" s="35"/>
      <c r="U175" s="37">
        <v>0</v>
      </c>
      <c r="V175" s="35"/>
      <c r="W175" s="35"/>
      <c r="X175" s="35"/>
      <c r="Y175" s="35"/>
      <c r="Z175" s="38"/>
      <c r="AA175" s="36"/>
      <c r="AB175" s="39">
        <v>41493.701747685183</v>
      </c>
      <c r="AC175" s="40">
        <v>49</v>
      </c>
      <c r="AD175" s="36" t="s">
        <v>103</v>
      </c>
      <c r="AE175" s="35" t="s">
        <v>104</v>
      </c>
      <c r="AF175" s="35" t="s">
        <v>105</v>
      </c>
      <c r="AJ175" s="34">
        <f>Table_owssvr_1[[#This Row],[Total Connected Load (kW)]]</f>
        <v>0.3728495</v>
      </c>
      <c r="AK175" s="34">
        <f>Table_owssvr_1[[#This Row],[Total Connected Load (kW)]]</f>
        <v>0.3728495</v>
      </c>
    </row>
    <row r="176" spans="1:38">
      <c r="A176" s="35" t="s">
        <v>354</v>
      </c>
      <c r="B176" s="35" t="s">
        <v>355</v>
      </c>
      <c r="C176" s="36" t="s">
        <v>331</v>
      </c>
      <c r="D176" s="35"/>
      <c r="E176" s="37" t="b">
        <v>1</v>
      </c>
      <c r="F176" s="37" t="b">
        <v>0</v>
      </c>
      <c r="G176" s="37"/>
      <c r="H176" s="35"/>
      <c r="I176" s="37">
        <v>0.5</v>
      </c>
      <c r="J176" s="37">
        <v>480</v>
      </c>
      <c r="K176" s="36" t="s">
        <v>138</v>
      </c>
      <c r="L176" s="37"/>
      <c r="M176" s="35"/>
      <c r="N176" s="35"/>
      <c r="O176" s="36" t="s">
        <v>102</v>
      </c>
      <c r="P176" s="37" t="b">
        <v>0</v>
      </c>
      <c r="Q176" s="37">
        <v>0.3728495</v>
      </c>
      <c r="R176" s="37">
        <v>0</v>
      </c>
      <c r="S176" s="37" t="b">
        <v>0</v>
      </c>
      <c r="T176" s="35"/>
      <c r="U176" s="37">
        <v>0</v>
      </c>
      <c r="V176" s="35"/>
      <c r="W176" s="35"/>
      <c r="X176" s="35"/>
      <c r="Y176" s="35"/>
      <c r="Z176" s="38"/>
      <c r="AA176" s="36"/>
      <c r="AB176" s="39">
        <v>41493.702187499999</v>
      </c>
      <c r="AC176" s="40">
        <v>50</v>
      </c>
      <c r="AD176" s="36" t="s">
        <v>103</v>
      </c>
      <c r="AE176" s="35" t="s">
        <v>104</v>
      </c>
      <c r="AF176" s="35" t="s">
        <v>105</v>
      </c>
      <c r="AJ176" s="34">
        <v>0</v>
      </c>
      <c r="AK176" s="34">
        <v>0</v>
      </c>
      <c r="AL176" s="34" t="s">
        <v>557</v>
      </c>
    </row>
    <row r="177" spans="1:38">
      <c r="A177" s="35" t="s">
        <v>356</v>
      </c>
      <c r="B177" s="35" t="s">
        <v>357</v>
      </c>
      <c r="C177" s="36" t="s">
        <v>331</v>
      </c>
      <c r="D177" s="35"/>
      <c r="E177" s="37" t="b">
        <v>0</v>
      </c>
      <c r="F177" s="37" t="b">
        <v>1</v>
      </c>
      <c r="G177" s="37"/>
      <c r="H177" s="35"/>
      <c r="I177" s="37">
        <v>0.25</v>
      </c>
      <c r="J177" s="37">
        <v>120</v>
      </c>
      <c r="K177" s="36" t="s">
        <v>138</v>
      </c>
      <c r="L177" s="37"/>
      <c r="M177" s="35"/>
      <c r="N177" s="35"/>
      <c r="O177" s="36" t="s">
        <v>102</v>
      </c>
      <c r="P177" s="37" t="b">
        <v>0</v>
      </c>
      <c r="Q177" s="37">
        <v>0.18642475</v>
      </c>
      <c r="R177" s="37">
        <v>0</v>
      </c>
      <c r="S177" s="37" t="b">
        <v>0</v>
      </c>
      <c r="T177" s="35"/>
      <c r="U177" s="37">
        <v>0</v>
      </c>
      <c r="V177" s="35"/>
      <c r="W177" s="35"/>
      <c r="X177" s="35"/>
      <c r="Y177" s="35"/>
      <c r="Z177" s="38"/>
      <c r="AA177" s="36"/>
      <c r="AB177" s="39">
        <v>41493.702314814815</v>
      </c>
      <c r="AC177" s="40">
        <v>51</v>
      </c>
      <c r="AD177" s="36" t="s">
        <v>103</v>
      </c>
      <c r="AE177" s="35" t="s">
        <v>104</v>
      </c>
      <c r="AF177" s="35" t="s">
        <v>105</v>
      </c>
      <c r="AJ177" s="34">
        <f>Table_owssvr_1[[#This Row],[Total Connected Load (kW)]]</f>
        <v>0.18642475</v>
      </c>
      <c r="AK177" s="34">
        <v>0</v>
      </c>
      <c r="AL177" s="34" t="s">
        <v>559</v>
      </c>
    </row>
    <row r="178" spans="1:38">
      <c r="A178" s="35" t="s">
        <v>358</v>
      </c>
      <c r="B178" s="35" t="s">
        <v>359</v>
      </c>
      <c r="C178" s="36" t="s">
        <v>331</v>
      </c>
      <c r="D178" s="35"/>
      <c r="E178" s="37" t="b">
        <v>1</v>
      </c>
      <c r="F178" s="37" t="b">
        <v>0</v>
      </c>
      <c r="G178" s="37"/>
      <c r="H178" s="35"/>
      <c r="I178" s="37">
        <v>0.5</v>
      </c>
      <c r="J178" s="37">
        <v>480</v>
      </c>
      <c r="K178" s="36" t="s">
        <v>138</v>
      </c>
      <c r="L178" s="37"/>
      <c r="M178" s="35"/>
      <c r="N178" s="35"/>
      <c r="O178" s="36" t="s">
        <v>102</v>
      </c>
      <c r="P178" s="37" t="b">
        <v>0</v>
      </c>
      <c r="Q178" s="37">
        <v>0.3728495</v>
      </c>
      <c r="R178" s="37">
        <v>0</v>
      </c>
      <c r="S178" s="37" t="b">
        <v>0</v>
      </c>
      <c r="T178" s="35"/>
      <c r="U178" s="37">
        <v>0</v>
      </c>
      <c r="V178" s="35"/>
      <c r="W178" s="35"/>
      <c r="X178" s="35"/>
      <c r="Y178" s="35"/>
      <c r="Z178" s="38"/>
      <c r="AA178" s="36"/>
      <c r="AB178" s="39">
        <v>41493.702962962961</v>
      </c>
      <c r="AC178" s="40">
        <v>52</v>
      </c>
      <c r="AD178" s="36" t="s">
        <v>103</v>
      </c>
      <c r="AE178" s="35" t="s">
        <v>104</v>
      </c>
      <c r="AF178" s="35" t="s">
        <v>105</v>
      </c>
      <c r="AJ178" s="34">
        <f>Table_owssvr_1[[#This Row],[Total Connected Load (kW)]]</f>
        <v>0.3728495</v>
      </c>
      <c r="AK178" s="34">
        <f>Table_owssvr_1[[#This Row],[Total Connected Load (kW)]]</f>
        <v>0.3728495</v>
      </c>
    </row>
    <row r="179" spans="1:38">
      <c r="A179" s="35" t="s">
        <v>360</v>
      </c>
      <c r="B179" s="35" t="s">
        <v>361</v>
      </c>
      <c r="C179" s="36" t="s">
        <v>331</v>
      </c>
      <c r="D179" s="35"/>
      <c r="E179" s="37" t="b">
        <v>1</v>
      </c>
      <c r="F179" s="37" t="b">
        <v>0</v>
      </c>
      <c r="G179" s="37"/>
      <c r="H179" s="35"/>
      <c r="I179" s="37">
        <v>0.5</v>
      </c>
      <c r="J179" s="37">
        <v>480</v>
      </c>
      <c r="K179" s="36" t="s">
        <v>138</v>
      </c>
      <c r="L179" s="37"/>
      <c r="M179" s="35"/>
      <c r="N179" s="35"/>
      <c r="O179" s="36" t="s">
        <v>102</v>
      </c>
      <c r="P179" s="37" t="b">
        <v>0</v>
      </c>
      <c r="Q179" s="37">
        <v>0.3728495</v>
      </c>
      <c r="R179" s="37">
        <v>0</v>
      </c>
      <c r="S179" s="37" t="b">
        <v>0</v>
      </c>
      <c r="T179" s="35"/>
      <c r="U179" s="37">
        <v>0</v>
      </c>
      <c r="V179" s="35"/>
      <c r="W179" s="35"/>
      <c r="X179" s="35"/>
      <c r="Y179" s="35"/>
      <c r="Z179" s="38"/>
      <c r="AA179" s="36"/>
      <c r="AB179" s="39">
        <v>41493.703113425923</v>
      </c>
      <c r="AC179" s="40">
        <v>53</v>
      </c>
      <c r="AD179" s="36" t="s">
        <v>103</v>
      </c>
      <c r="AE179" s="35" t="s">
        <v>104</v>
      </c>
      <c r="AF179" s="35" t="s">
        <v>105</v>
      </c>
      <c r="AJ179" s="34">
        <f>Q180</f>
        <v>0.3728495</v>
      </c>
      <c r="AK179" s="34">
        <f>Table_owssvr_1[[#This Row],[Total Connected Load (kW)]]</f>
        <v>0.3728495</v>
      </c>
    </row>
    <row r="180" spans="1:38">
      <c r="A180" s="35" t="s">
        <v>362</v>
      </c>
      <c r="B180" s="35" t="s">
        <v>363</v>
      </c>
      <c r="C180" s="36" t="s">
        <v>331</v>
      </c>
      <c r="D180" s="35"/>
      <c r="E180" s="37" t="b">
        <v>0</v>
      </c>
      <c r="F180" s="37" t="b">
        <v>1</v>
      </c>
      <c r="G180" s="37"/>
      <c r="H180" s="35"/>
      <c r="I180" s="37">
        <v>0.5</v>
      </c>
      <c r="J180" s="37">
        <v>480</v>
      </c>
      <c r="K180" s="36" t="s">
        <v>138</v>
      </c>
      <c r="L180" s="37"/>
      <c r="M180" s="35"/>
      <c r="N180" s="35"/>
      <c r="O180" s="36" t="s">
        <v>102</v>
      </c>
      <c r="P180" s="37" t="b">
        <v>0</v>
      </c>
      <c r="Q180" s="37">
        <v>0.3728495</v>
      </c>
      <c r="R180" s="37">
        <v>0</v>
      </c>
      <c r="S180" s="37" t="b">
        <v>0</v>
      </c>
      <c r="T180" s="35"/>
      <c r="U180" s="37">
        <v>0</v>
      </c>
      <c r="V180" s="35"/>
      <c r="W180" s="35"/>
      <c r="X180" s="35"/>
      <c r="Y180" s="35"/>
      <c r="Z180" s="38"/>
      <c r="AA180" s="36"/>
      <c r="AB180" s="39">
        <v>41493.703217592592</v>
      </c>
      <c r="AC180" s="40">
        <v>54</v>
      </c>
      <c r="AD180" s="36" t="s">
        <v>103</v>
      </c>
      <c r="AE180" s="35" t="s">
        <v>104</v>
      </c>
      <c r="AF180" s="35" t="s">
        <v>105</v>
      </c>
      <c r="AJ180" s="34">
        <v>0</v>
      </c>
      <c r="AK180" s="34">
        <v>0</v>
      </c>
    </row>
    <row r="181" spans="1:38">
      <c r="A181" s="35" t="s">
        <v>364</v>
      </c>
      <c r="B181" s="35" t="s">
        <v>365</v>
      </c>
      <c r="C181" s="36" t="s">
        <v>331</v>
      </c>
      <c r="D181" s="35"/>
      <c r="E181" s="37" t="b">
        <v>1</v>
      </c>
      <c r="F181" s="37" t="b">
        <v>0</v>
      </c>
      <c r="G181" s="37"/>
      <c r="H181" s="35"/>
      <c r="I181" s="37">
        <v>0.5</v>
      </c>
      <c r="J181" s="37">
        <v>480</v>
      </c>
      <c r="K181" s="36" t="s">
        <v>138</v>
      </c>
      <c r="L181" s="37"/>
      <c r="M181" s="35"/>
      <c r="N181" s="35"/>
      <c r="O181" s="36" t="s">
        <v>102</v>
      </c>
      <c r="P181" s="37" t="b">
        <v>0</v>
      </c>
      <c r="Q181" s="37">
        <v>0.3728495</v>
      </c>
      <c r="R181" s="37">
        <v>0</v>
      </c>
      <c r="S181" s="37" t="b">
        <v>0</v>
      </c>
      <c r="T181" s="35"/>
      <c r="U181" s="37">
        <v>0</v>
      </c>
      <c r="V181" s="35"/>
      <c r="W181" s="35"/>
      <c r="X181" s="35"/>
      <c r="Y181" s="35"/>
      <c r="Z181" s="38"/>
      <c r="AA181" s="36"/>
      <c r="AB181" s="39">
        <v>41493.704155092593</v>
      </c>
      <c r="AC181" s="40">
        <v>55</v>
      </c>
      <c r="AD181" s="36" t="s">
        <v>103</v>
      </c>
      <c r="AE181" s="35" t="s">
        <v>104</v>
      </c>
      <c r="AF181" s="35" t="s">
        <v>105</v>
      </c>
      <c r="AJ181" s="34">
        <v>0</v>
      </c>
      <c r="AK181" s="34">
        <v>0</v>
      </c>
    </row>
    <row r="182" spans="1:38">
      <c r="A182" s="35" t="s">
        <v>366</v>
      </c>
      <c r="B182" s="35" t="s">
        <v>367</v>
      </c>
      <c r="C182" s="36" t="s">
        <v>331</v>
      </c>
      <c r="D182" s="35"/>
      <c r="E182" s="37" t="b">
        <v>1</v>
      </c>
      <c r="F182" s="37" t="b">
        <v>0</v>
      </c>
      <c r="G182" s="37"/>
      <c r="H182" s="35"/>
      <c r="I182" s="37">
        <v>0.25</v>
      </c>
      <c r="J182" s="37">
        <v>480</v>
      </c>
      <c r="K182" s="36" t="s">
        <v>138</v>
      </c>
      <c r="L182" s="37"/>
      <c r="M182" s="35"/>
      <c r="N182" s="35"/>
      <c r="O182" s="36" t="s">
        <v>102</v>
      </c>
      <c r="P182" s="37" t="b">
        <v>0</v>
      </c>
      <c r="Q182" s="37">
        <v>0.18642475</v>
      </c>
      <c r="R182" s="37">
        <v>0</v>
      </c>
      <c r="S182" s="37" t="b">
        <v>0</v>
      </c>
      <c r="T182" s="35"/>
      <c r="U182" s="37">
        <v>0</v>
      </c>
      <c r="V182" s="35"/>
      <c r="W182" s="35"/>
      <c r="X182" s="35"/>
      <c r="Y182" s="35"/>
      <c r="Z182" s="38"/>
      <c r="AA182" s="36"/>
      <c r="AB182" s="39">
        <v>41493.677060185182</v>
      </c>
      <c r="AC182" s="40">
        <v>56</v>
      </c>
      <c r="AD182" s="36" t="s">
        <v>103</v>
      </c>
      <c r="AE182" s="35" t="s">
        <v>104</v>
      </c>
      <c r="AF182" s="35" t="s">
        <v>105</v>
      </c>
      <c r="AJ182" s="34">
        <f>Table_owssvr_1[[#This Row],[Total Connected Load (kW)]]</f>
        <v>0.18642475</v>
      </c>
      <c r="AK182" s="34">
        <f>Table_owssvr_1[[#This Row],[Total Connected Load (kW)]]</f>
        <v>0.18642475</v>
      </c>
    </row>
    <row r="183" spans="1:38">
      <c r="A183" s="35" t="s">
        <v>368</v>
      </c>
      <c r="B183" s="35" t="s">
        <v>369</v>
      </c>
      <c r="C183" s="36" t="s">
        <v>331</v>
      </c>
      <c r="D183" s="35"/>
      <c r="E183" s="37" t="b">
        <v>0</v>
      </c>
      <c r="F183" s="37" t="b">
        <v>1</v>
      </c>
      <c r="G183" s="37"/>
      <c r="H183" s="35"/>
      <c r="I183" s="37">
        <v>0.25</v>
      </c>
      <c r="J183" s="37">
        <v>480</v>
      </c>
      <c r="K183" s="36" t="s">
        <v>138</v>
      </c>
      <c r="L183" s="37"/>
      <c r="M183" s="35"/>
      <c r="N183" s="35"/>
      <c r="O183" s="36" t="s">
        <v>102</v>
      </c>
      <c r="P183" s="37" t="b">
        <v>0</v>
      </c>
      <c r="Q183" s="37">
        <v>0.18642475</v>
      </c>
      <c r="R183" s="37">
        <v>0</v>
      </c>
      <c r="S183" s="37" t="b">
        <v>0</v>
      </c>
      <c r="T183" s="35"/>
      <c r="U183" s="37">
        <v>0</v>
      </c>
      <c r="V183" s="35"/>
      <c r="W183" s="35"/>
      <c r="X183" s="35"/>
      <c r="Y183" s="35"/>
      <c r="Z183" s="38"/>
      <c r="AA183" s="36"/>
      <c r="AB183" s="39">
        <v>41493.677222222221</v>
      </c>
      <c r="AC183" s="40">
        <v>57</v>
      </c>
      <c r="AD183" s="36" t="s">
        <v>103</v>
      </c>
      <c r="AE183" s="35" t="s">
        <v>104</v>
      </c>
      <c r="AF183" s="35" t="s">
        <v>105</v>
      </c>
      <c r="AJ183" s="34">
        <v>0</v>
      </c>
      <c r="AK183" s="34">
        <v>0</v>
      </c>
    </row>
    <row r="184" spans="1:38">
      <c r="A184" s="35" t="s">
        <v>370</v>
      </c>
      <c r="B184" s="35" t="s">
        <v>371</v>
      </c>
      <c r="C184" s="36" t="s">
        <v>331</v>
      </c>
      <c r="D184" s="35"/>
      <c r="E184" s="37" t="b">
        <v>1</v>
      </c>
      <c r="F184" s="37" t="b">
        <v>0</v>
      </c>
      <c r="G184" s="37"/>
      <c r="H184" s="35"/>
      <c r="I184" s="37"/>
      <c r="J184" s="37">
        <v>480</v>
      </c>
      <c r="K184" s="36" t="s">
        <v>138</v>
      </c>
      <c r="L184" s="37"/>
      <c r="M184" s="35"/>
      <c r="N184" s="35"/>
      <c r="O184" s="36" t="s">
        <v>102</v>
      </c>
      <c r="P184" s="37" t="b">
        <v>1</v>
      </c>
      <c r="Q184" s="37">
        <v>0</v>
      </c>
      <c r="R184" s="37">
        <v>0</v>
      </c>
      <c r="S184" s="37" t="b">
        <v>0</v>
      </c>
      <c r="T184" s="35"/>
      <c r="U184" s="37">
        <v>0</v>
      </c>
      <c r="V184" s="35"/>
      <c r="W184" s="35"/>
      <c r="X184" s="35"/>
      <c r="Y184" s="35"/>
      <c r="Z184" s="38"/>
      <c r="AA184" s="36"/>
      <c r="AB184" s="39">
        <v>41493.682245370372</v>
      </c>
      <c r="AC184" s="40">
        <v>58</v>
      </c>
      <c r="AD184" s="36" t="s">
        <v>103</v>
      </c>
      <c r="AE184" s="35" t="s">
        <v>104</v>
      </c>
      <c r="AF184" s="35" t="s">
        <v>105</v>
      </c>
      <c r="AJ184" s="34">
        <f>AJ179</f>
        <v>0.3728495</v>
      </c>
      <c r="AK184" s="34">
        <f>AK179</f>
        <v>0.3728495</v>
      </c>
    </row>
    <row r="185" spans="1:38">
      <c r="A185" s="35" t="s">
        <v>372</v>
      </c>
      <c r="B185" s="35" t="s">
        <v>373</v>
      </c>
      <c r="C185" s="36" t="s">
        <v>331</v>
      </c>
      <c r="D185" s="35"/>
      <c r="E185" s="37" t="b">
        <v>0</v>
      </c>
      <c r="F185" s="37" t="b">
        <v>1</v>
      </c>
      <c r="G185" s="37"/>
      <c r="H185" s="35"/>
      <c r="I185" s="37"/>
      <c r="J185" s="37">
        <v>480</v>
      </c>
      <c r="K185" s="36" t="s">
        <v>138</v>
      </c>
      <c r="L185" s="37"/>
      <c r="M185" s="35"/>
      <c r="N185" s="35"/>
      <c r="O185" s="36" t="s">
        <v>102</v>
      </c>
      <c r="P185" s="37" t="b">
        <v>0</v>
      </c>
      <c r="Q185" s="37">
        <v>0</v>
      </c>
      <c r="R185" s="37">
        <v>0</v>
      </c>
      <c r="S185" s="37" t="b">
        <v>0</v>
      </c>
      <c r="T185" s="35"/>
      <c r="U185" s="37">
        <v>0</v>
      </c>
      <c r="V185" s="35"/>
      <c r="W185" s="35"/>
      <c r="X185" s="35"/>
      <c r="Y185" s="35"/>
      <c r="Z185" s="38"/>
      <c r="AA185" s="36"/>
      <c r="AB185" s="39">
        <v>41493.682326388887</v>
      </c>
      <c r="AC185" s="40">
        <v>59</v>
      </c>
      <c r="AD185" s="36" t="s">
        <v>103</v>
      </c>
      <c r="AE185" s="35" t="s">
        <v>104</v>
      </c>
      <c r="AF185" s="35" t="s">
        <v>105</v>
      </c>
      <c r="AJ185" s="34">
        <v>0</v>
      </c>
      <c r="AK185" s="34">
        <v>0</v>
      </c>
      <c r="AL185" s="34" t="s">
        <v>557</v>
      </c>
    </row>
    <row r="186" spans="1:38" hidden="1">
      <c r="A186" s="35"/>
      <c r="B186" s="35" t="s">
        <v>374</v>
      </c>
      <c r="C186" s="36" t="s">
        <v>331</v>
      </c>
      <c r="D186" s="35"/>
      <c r="E186" s="37" t="b">
        <v>1</v>
      </c>
      <c r="F186" s="37" t="b">
        <v>0</v>
      </c>
      <c r="G186" s="37"/>
      <c r="H186" s="35"/>
      <c r="I186" s="37">
        <v>0</v>
      </c>
      <c r="J186" s="37"/>
      <c r="K186" s="36" t="s">
        <v>101</v>
      </c>
      <c r="L186" s="37"/>
      <c r="M186" s="35"/>
      <c r="N186" s="35"/>
      <c r="O186" s="36" t="s">
        <v>102</v>
      </c>
      <c r="P186" s="37" t="b">
        <v>0</v>
      </c>
      <c r="Q186" s="37">
        <v>0</v>
      </c>
      <c r="R186" s="37">
        <v>0</v>
      </c>
      <c r="S186" s="37" t="b">
        <v>0</v>
      </c>
      <c r="T186" s="35"/>
      <c r="U186" s="37">
        <v>0</v>
      </c>
      <c r="V186" s="35"/>
      <c r="W186" s="35"/>
      <c r="X186" s="35"/>
      <c r="Y186" s="35"/>
      <c r="Z186" s="38"/>
      <c r="AA186" s="36"/>
      <c r="AB186" s="39">
        <v>41481.472939814812</v>
      </c>
      <c r="AC186" s="40">
        <v>105</v>
      </c>
      <c r="AD186" s="36" t="s">
        <v>103</v>
      </c>
      <c r="AE186" s="35" t="s">
        <v>104</v>
      </c>
      <c r="AF186" s="35" t="s">
        <v>105</v>
      </c>
    </row>
    <row r="187" spans="1:38" hidden="1">
      <c r="A187" s="35"/>
      <c r="B187" s="35" t="s">
        <v>375</v>
      </c>
      <c r="C187" s="36" t="s">
        <v>331</v>
      </c>
      <c r="D187" s="35"/>
      <c r="E187" s="37" t="b">
        <v>1</v>
      </c>
      <c r="F187" s="37" t="b">
        <v>0</v>
      </c>
      <c r="G187" s="37"/>
      <c r="H187" s="35"/>
      <c r="I187" s="37">
        <v>0</v>
      </c>
      <c r="J187" s="37"/>
      <c r="K187" s="36" t="s">
        <v>101</v>
      </c>
      <c r="L187" s="37"/>
      <c r="M187" s="35"/>
      <c r="N187" s="35"/>
      <c r="O187" s="36" t="s">
        <v>102</v>
      </c>
      <c r="P187" s="37" t="b">
        <v>1</v>
      </c>
      <c r="Q187" s="37">
        <v>0</v>
      </c>
      <c r="R187" s="37">
        <v>0</v>
      </c>
      <c r="S187" s="37" t="b">
        <v>0</v>
      </c>
      <c r="T187" s="35"/>
      <c r="U187" s="37">
        <v>0</v>
      </c>
      <c r="V187" s="35"/>
      <c r="W187" s="35"/>
      <c r="X187" s="35"/>
      <c r="Y187" s="35"/>
      <c r="Z187" s="38"/>
      <c r="AA187" s="36"/>
      <c r="AB187" s="39">
        <v>41481.472951388889</v>
      </c>
      <c r="AC187" s="40">
        <v>107</v>
      </c>
      <c r="AD187" s="36" t="s">
        <v>103</v>
      </c>
      <c r="AE187" s="35" t="s">
        <v>104</v>
      </c>
      <c r="AF187" s="35" t="s">
        <v>105</v>
      </c>
    </row>
    <row r="188" spans="1:38">
      <c r="A188" s="35"/>
      <c r="B188" s="35" t="s">
        <v>376</v>
      </c>
      <c r="C188" s="36" t="s">
        <v>331</v>
      </c>
      <c r="D188" s="35"/>
      <c r="E188" s="37" t="b">
        <v>1</v>
      </c>
      <c r="F188" s="37" t="b">
        <v>0</v>
      </c>
      <c r="G188" s="37"/>
      <c r="H188" s="35" t="s">
        <v>377</v>
      </c>
      <c r="I188" s="37"/>
      <c r="J188" s="37">
        <v>480</v>
      </c>
      <c r="K188" s="36" t="s">
        <v>101</v>
      </c>
      <c r="L188" s="37"/>
      <c r="M188" s="35"/>
      <c r="N188" s="35"/>
      <c r="O188" s="36" t="s">
        <v>102</v>
      </c>
      <c r="P188" s="37" t="b">
        <v>1</v>
      </c>
      <c r="Q188" s="37">
        <v>0</v>
      </c>
      <c r="R188" s="37">
        <v>0</v>
      </c>
      <c r="S188" s="37" t="b">
        <v>0</v>
      </c>
      <c r="T188" s="35"/>
      <c r="U188" s="37">
        <v>0</v>
      </c>
      <c r="V188" s="35"/>
      <c r="W188" s="35"/>
      <c r="X188" s="35"/>
      <c r="Y188" s="35"/>
      <c r="Z188" s="38"/>
      <c r="AA188" s="36"/>
      <c r="AB188" s="39">
        <v>41481.472951388889</v>
      </c>
      <c r="AC188" s="40">
        <v>108</v>
      </c>
      <c r="AD188" s="36" t="s">
        <v>103</v>
      </c>
      <c r="AE188" s="35" t="s">
        <v>104</v>
      </c>
      <c r="AF188" s="35" t="s">
        <v>105</v>
      </c>
      <c r="AJ188" s="61">
        <v>90</v>
      </c>
      <c r="AK188" s="61">
        <v>90</v>
      </c>
      <c r="AL188" s="34" t="s">
        <v>603</v>
      </c>
    </row>
    <row r="189" spans="1:38" hidden="1">
      <c r="A189" s="35"/>
      <c r="B189" s="35" t="s">
        <v>378</v>
      </c>
      <c r="C189" s="36" t="s">
        <v>331</v>
      </c>
      <c r="D189" s="35"/>
      <c r="E189" s="37" t="b">
        <v>1</v>
      </c>
      <c r="F189" s="37" t="b">
        <v>0</v>
      </c>
      <c r="G189" s="37"/>
      <c r="H189" s="35"/>
      <c r="I189" s="37">
        <v>0</v>
      </c>
      <c r="J189" s="37"/>
      <c r="K189" s="36" t="s">
        <v>101</v>
      </c>
      <c r="L189" s="37"/>
      <c r="M189" s="35"/>
      <c r="N189" s="35"/>
      <c r="O189" s="36" t="s">
        <v>102</v>
      </c>
      <c r="P189" s="37" t="b">
        <v>0</v>
      </c>
      <c r="Q189" s="37">
        <v>0</v>
      </c>
      <c r="R189" s="37">
        <v>0</v>
      </c>
      <c r="S189" s="37" t="b">
        <v>0</v>
      </c>
      <c r="T189" s="35"/>
      <c r="U189" s="37">
        <v>0</v>
      </c>
      <c r="V189" s="35"/>
      <c r="W189" s="35"/>
      <c r="X189" s="35"/>
      <c r="Y189" s="35"/>
      <c r="Z189" s="38"/>
      <c r="AA189" s="36"/>
      <c r="AB189" s="39">
        <v>41481.472951388889</v>
      </c>
      <c r="AC189" s="40">
        <v>109</v>
      </c>
      <c r="AD189" s="36" t="s">
        <v>103</v>
      </c>
      <c r="AE189" s="35" t="s">
        <v>104</v>
      </c>
      <c r="AF189" s="35" t="s">
        <v>105</v>
      </c>
      <c r="AJ189" s="61"/>
      <c r="AK189" s="61"/>
    </row>
    <row r="190" spans="1:38" hidden="1">
      <c r="A190" s="35" t="s">
        <v>379</v>
      </c>
      <c r="B190" s="35" t="s">
        <v>380</v>
      </c>
      <c r="C190" s="36" t="s">
        <v>331</v>
      </c>
      <c r="D190" s="35"/>
      <c r="E190" s="37" t="b">
        <v>1</v>
      </c>
      <c r="F190" s="37" t="b">
        <v>0</v>
      </c>
      <c r="G190" s="37" t="b">
        <v>0</v>
      </c>
      <c r="H190" s="35"/>
      <c r="I190" s="37">
        <v>0</v>
      </c>
      <c r="J190" s="37"/>
      <c r="K190" s="36" t="s">
        <v>101</v>
      </c>
      <c r="L190" s="37"/>
      <c r="M190" s="35"/>
      <c r="N190" s="35"/>
      <c r="O190" s="36" t="s">
        <v>102</v>
      </c>
      <c r="P190" s="37" t="b">
        <v>0</v>
      </c>
      <c r="Q190" s="37">
        <v>0</v>
      </c>
      <c r="R190" s="37">
        <v>0</v>
      </c>
      <c r="S190" s="37" t="b">
        <v>0</v>
      </c>
      <c r="T190" s="35"/>
      <c r="U190" s="37">
        <v>0</v>
      </c>
      <c r="V190" s="35"/>
      <c r="W190" s="35"/>
      <c r="X190" s="35"/>
      <c r="Y190" s="35"/>
      <c r="Z190" s="38"/>
      <c r="AA190" s="36"/>
      <c r="AB190" s="39">
        <v>41493.374201388891</v>
      </c>
      <c r="AC190" s="40">
        <v>110</v>
      </c>
      <c r="AD190" s="36" t="s">
        <v>103</v>
      </c>
      <c r="AE190" s="35" t="s">
        <v>104</v>
      </c>
      <c r="AF190" s="35" t="s">
        <v>105</v>
      </c>
      <c r="AJ190" s="61"/>
      <c r="AK190" s="61"/>
    </row>
    <row r="191" spans="1:38" hidden="1">
      <c r="A191" s="35" t="s">
        <v>381</v>
      </c>
      <c r="B191" s="35" t="s">
        <v>382</v>
      </c>
      <c r="C191" s="36" t="s">
        <v>331</v>
      </c>
      <c r="D191" s="35"/>
      <c r="E191" s="37" t="b">
        <v>1</v>
      </c>
      <c r="F191" s="37" t="b">
        <v>0</v>
      </c>
      <c r="G191" s="37"/>
      <c r="H191" s="35"/>
      <c r="I191" s="37">
        <v>0</v>
      </c>
      <c r="J191" s="37"/>
      <c r="K191" s="36" t="s">
        <v>101</v>
      </c>
      <c r="L191" s="37"/>
      <c r="M191" s="35"/>
      <c r="N191" s="35"/>
      <c r="O191" s="36" t="s">
        <v>102</v>
      </c>
      <c r="P191" s="37" t="b">
        <v>0</v>
      </c>
      <c r="Q191" s="37">
        <v>0</v>
      </c>
      <c r="R191" s="37">
        <v>0</v>
      </c>
      <c r="S191" s="37" t="b">
        <v>0</v>
      </c>
      <c r="T191" s="35"/>
      <c r="U191" s="37">
        <v>0</v>
      </c>
      <c r="V191" s="35"/>
      <c r="W191" s="35"/>
      <c r="X191" s="35"/>
      <c r="Y191" s="35"/>
      <c r="Z191" s="38"/>
      <c r="AA191" s="36"/>
      <c r="AB191" s="39">
        <v>41493.47996527778</v>
      </c>
      <c r="AC191" s="40">
        <v>111</v>
      </c>
      <c r="AD191" s="36" t="s">
        <v>103</v>
      </c>
      <c r="AE191" s="35" t="s">
        <v>104</v>
      </c>
      <c r="AF191" s="35" t="s">
        <v>105</v>
      </c>
      <c r="AJ191" s="61"/>
      <c r="AK191" s="61"/>
    </row>
    <row r="192" spans="1:38" hidden="1">
      <c r="A192" s="35" t="s">
        <v>383</v>
      </c>
      <c r="B192" s="35" t="s">
        <v>384</v>
      </c>
      <c r="C192" s="36" t="s">
        <v>331</v>
      </c>
      <c r="D192" s="35"/>
      <c r="E192" s="37" t="b">
        <v>1</v>
      </c>
      <c r="F192" s="37" t="b">
        <v>0</v>
      </c>
      <c r="G192" s="37"/>
      <c r="H192" s="35"/>
      <c r="I192" s="37">
        <v>0</v>
      </c>
      <c r="J192" s="37"/>
      <c r="K192" s="36" t="s">
        <v>101</v>
      </c>
      <c r="L192" s="37"/>
      <c r="M192" s="35"/>
      <c r="N192" s="35"/>
      <c r="O192" s="36" t="s">
        <v>102</v>
      </c>
      <c r="P192" s="37" t="b">
        <v>0</v>
      </c>
      <c r="Q192" s="37">
        <v>0</v>
      </c>
      <c r="R192" s="37">
        <v>0</v>
      </c>
      <c r="S192" s="37" t="b">
        <v>0</v>
      </c>
      <c r="T192" s="35"/>
      <c r="U192" s="37">
        <v>0</v>
      </c>
      <c r="V192" s="35"/>
      <c r="W192" s="35"/>
      <c r="X192" s="35"/>
      <c r="Y192" s="35"/>
      <c r="Z192" s="38"/>
      <c r="AA192" s="36"/>
      <c r="AB192" s="39">
        <v>41493.70144675926</v>
      </c>
      <c r="AC192" s="40">
        <v>112</v>
      </c>
      <c r="AD192" s="36" t="s">
        <v>103</v>
      </c>
      <c r="AE192" s="35" t="s">
        <v>104</v>
      </c>
      <c r="AF192" s="35" t="s">
        <v>105</v>
      </c>
      <c r="AJ192" s="61"/>
      <c r="AK192" s="61"/>
    </row>
    <row r="193" spans="1:38" hidden="1">
      <c r="A193" s="35" t="s">
        <v>385</v>
      </c>
      <c r="B193" s="35" t="s">
        <v>386</v>
      </c>
      <c r="C193" s="36" t="s">
        <v>331</v>
      </c>
      <c r="D193" s="35"/>
      <c r="E193" s="37" t="b">
        <v>1</v>
      </c>
      <c r="F193" s="37" t="b">
        <v>0</v>
      </c>
      <c r="G193" s="37"/>
      <c r="H193" s="35"/>
      <c r="I193" s="37">
        <v>0</v>
      </c>
      <c r="J193" s="37"/>
      <c r="K193" s="36" t="s">
        <v>101</v>
      </c>
      <c r="L193" s="37"/>
      <c r="M193" s="35"/>
      <c r="N193" s="35"/>
      <c r="O193" s="36" t="s">
        <v>102</v>
      </c>
      <c r="P193" s="37" t="b">
        <v>0</v>
      </c>
      <c r="Q193" s="37">
        <v>0</v>
      </c>
      <c r="R193" s="37">
        <v>0</v>
      </c>
      <c r="S193" s="37" t="b">
        <v>0</v>
      </c>
      <c r="T193" s="35"/>
      <c r="U193" s="37">
        <v>0</v>
      </c>
      <c r="V193" s="35"/>
      <c r="W193" s="35"/>
      <c r="X193" s="35"/>
      <c r="Y193" s="35"/>
      <c r="Z193" s="38"/>
      <c r="AA193" s="36"/>
      <c r="AB193" s="39">
        <v>41493.7034375</v>
      </c>
      <c r="AC193" s="40">
        <v>113</v>
      </c>
      <c r="AD193" s="36" t="s">
        <v>103</v>
      </c>
      <c r="AE193" s="35" t="s">
        <v>104</v>
      </c>
      <c r="AF193" s="35" t="s">
        <v>105</v>
      </c>
      <c r="AJ193" s="61"/>
      <c r="AK193" s="61"/>
    </row>
    <row r="194" spans="1:38" hidden="1">
      <c r="A194" s="35" t="s">
        <v>387</v>
      </c>
      <c r="B194" s="35" t="s">
        <v>388</v>
      </c>
      <c r="C194" s="36" t="s">
        <v>331</v>
      </c>
      <c r="D194" s="35"/>
      <c r="E194" s="37" t="b">
        <v>1</v>
      </c>
      <c r="F194" s="37" t="b">
        <v>0</v>
      </c>
      <c r="G194" s="37"/>
      <c r="H194" s="35"/>
      <c r="I194" s="37">
        <v>0</v>
      </c>
      <c r="J194" s="37"/>
      <c r="K194" s="36" t="s">
        <v>101</v>
      </c>
      <c r="L194" s="37"/>
      <c r="M194" s="35"/>
      <c r="N194" s="35"/>
      <c r="O194" s="36" t="s">
        <v>102</v>
      </c>
      <c r="P194" s="37" t="b">
        <v>0</v>
      </c>
      <c r="Q194" s="37">
        <v>0</v>
      </c>
      <c r="R194" s="37">
        <v>0</v>
      </c>
      <c r="S194" s="37" t="b">
        <v>0</v>
      </c>
      <c r="T194" s="35"/>
      <c r="U194" s="37">
        <v>0</v>
      </c>
      <c r="V194" s="35"/>
      <c r="W194" s="35"/>
      <c r="X194" s="35"/>
      <c r="Y194" s="35"/>
      <c r="Z194" s="38"/>
      <c r="AA194" s="36"/>
      <c r="AB194" s="39">
        <v>41481.472951388889</v>
      </c>
      <c r="AC194" s="40">
        <v>114</v>
      </c>
      <c r="AD194" s="36" t="s">
        <v>103</v>
      </c>
      <c r="AE194" s="35" t="s">
        <v>104</v>
      </c>
      <c r="AF194" s="35" t="s">
        <v>105</v>
      </c>
      <c r="AJ194" s="61"/>
      <c r="AK194" s="61"/>
    </row>
    <row r="195" spans="1:38">
      <c r="A195" s="35"/>
      <c r="B195" s="35" t="s">
        <v>389</v>
      </c>
      <c r="C195" s="36" t="s">
        <v>331</v>
      </c>
      <c r="D195" s="35"/>
      <c r="E195" s="37" t="b">
        <v>1</v>
      </c>
      <c r="F195" s="37" t="b">
        <v>0</v>
      </c>
      <c r="G195" s="37"/>
      <c r="H195" s="35" t="s">
        <v>390</v>
      </c>
      <c r="I195" s="37"/>
      <c r="J195" s="37">
        <v>480</v>
      </c>
      <c r="K195" s="36" t="s">
        <v>101</v>
      </c>
      <c r="L195" s="37"/>
      <c r="M195" s="35"/>
      <c r="N195" s="35"/>
      <c r="O195" s="36" t="s">
        <v>102</v>
      </c>
      <c r="P195" s="37" t="b">
        <v>1</v>
      </c>
      <c r="Q195" s="37">
        <v>0</v>
      </c>
      <c r="R195" s="37">
        <v>0</v>
      </c>
      <c r="S195" s="37" t="b">
        <v>0</v>
      </c>
      <c r="T195" s="35"/>
      <c r="U195" s="37">
        <v>0</v>
      </c>
      <c r="V195" s="35"/>
      <c r="W195" s="35"/>
      <c r="X195" s="35"/>
      <c r="Y195" s="35"/>
      <c r="Z195" s="38"/>
      <c r="AA195" s="36"/>
      <c r="AB195" s="39">
        <v>41481.472951388889</v>
      </c>
      <c r="AC195" s="40">
        <v>115</v>
      </c>
      <c r="AD195" s="36" t="s">
        <v>103</v>
      </c>
      <c r="AE195" s="35" t="s">
        <v>104</v>
      </c>
      <c r="AF195" s="35" t="s">
        <v>105</v>
      </c>
      <c r="AJ195" s="61">
        <v>60</v>
      </c>
      <c r="AK195" s="61">
        <v>60</v>
      </c>
      <c r="AL195" s="34" t="s">
        <v>604</v>
      </c>
    </row>
    <row r="196" spans="1:38" hidden="1">
      <c r="A196" s="35" t="s">
        <v>391</v>
      </c>
      <c r="B196" s="35" t="s">
        <v>392</v>
      </c>
      <c r="C196" s="36" t="s">
        <v>331</v>
      </c>
      <c r="D196" s="35"/>
      <c r="E196" s="37" t="b">
        <v>1</v>
      </c>
      <c r="F196" s="37" t="b">
        <v>0</v>
      </c>
      <c r="G196" s="37"/>
      <c r="H196" s="35"/>
      <c r="I196" s="37">
        <v>6</v>
      </c>
      <c r="J196" s="37">
        <v>480</v>
      </c>
      <c r="K196" s="36" t="s">
        <v>101</v>
      </c>
      <c r="L196" s="37"/>
      <c r="M196" s="35"/>
      <c r="N196" s="35"/>
      <c r="O196" s="36" t="s">
        <v>102</v>
      </c>
      <c r="P196" s="37" t="b">
        <v>1</v>
      </c>
      <c r="Q196" s="37">
        <v>4.4741939999999998</v>
      </c>
      <c r="R196" s="37">
        <v>0</v>
      </c>
      <c r="S196" s="37" t="b">
        <v>0</v>
      </c>
      <c r="T196" s="35"/>
      <c r="U196" s="37">
        <v>0</v>
      </c>
      <c r="V196" s="35"/>
      <c r="W196" s="35"/>
      <c r="X196" s="35"/>
      <c r="Y196" s="35"/>
      <c r="Z196" s="38"/>
      <c r="AA196" s="36"/>
      <c r="AB196" s="39">
        <v>41493.681388888886</v>
      </c>
      <c r="AC196" s="40">
        <v>116</v>
      </c>
      <c r="AD196" s="36" t="s">
        <v>103</v>
      </c>
      <c r="AE196" s="35" t="s">
        <v>104</v>
      </c>
      <c r="AF196" s="35" t="s">
        <v>105</v>
      </c>
      <c r="AJ196" s="61"/>
      <c r="AK196" s="61"/>
    </row>
    <row r="197" spans="1:38" hidden="1">
      <c r="A197" s="35"/>
      <c r="B197" s="35" t="s">
        <v>393</v>
      </c>
      <c r="C197" s="36" t="s">
        <v>331</v>
      </c>
      <c r="D197" s="35"/>
      <c r="E197" s="37" t="b">
        <v>0</v>
      </c>
      <c r="F197" s="37" t="b">
        <v>1</v>
      </c>
      <c r="G197" s="37"/>
      <c r="H197" s="35"/>
      <c r="I197" s="37">
        <v>0</v>
      </c>
      <c r="J197" s="37"/>
      <c r="K197" s="36" t="s">
        <v>101</v>
      </c>
      <c r="L197" s="37"/>
      <c r="M197" s="35"/>
      <c r="N197" s="35"/>
      <c r="O197" s="36" t="s">
        <v>102</v>
      </c>
      <c r="P197" s="37" t="b">
        <v>0</v>
      </c>
      <c r="Q197" s="37">
        <v>0</v>
      </c>
      <c r="R197" s="37">
        <v>0</v>
      </c>
      <c r="S197" s="37" t="b">
        <v>0</v>
      </c>
      <c r="T197" s="35"/>
      <c r="U197" s="37">
        <v>0</v>
      </c>
      <c r="V197" s="35"/>
      <c r="W197" s="35"/>
      <c r="X197" s="35"/>
      <c r="Y197" s="35"/>
      <c r="Z197" s="38"/>
      <c r="AA197" s="36"/>
      <c r="AB197" s="39">
        <v>41481.472951388889</v>
      </c>
      <c r="AC197" s="40">
        <v>118</v>
      </c>
      <c r="AD197" s="36" t="s">
        <v>103</v>
      </c>
      <c r="AE197" s="35" t="s">
        <v>104</v>
      </c>
      <c r="AF197" s="35" t="s">
        <v>105</v>
      </c>
      <c r="AJ197" s="61"/>
      <c r="AK197" s="61"/>
    </row>
    <row r="198" spans="1:38">
      <c r="A198" s="35"/>
      <c r="B198" s="35" t="s">
        <v>394</v>
      </c>
      <c r="C198" s="36" t="s">
        <v>331</v>
      </c>
      <c r="D198" s="35"/>
      <c r="E198" s="37" t="b">
        <v>1</v>
      </c>
      <c r="F198" s="37" t="b">
        <v>0</v>
      </c>
      <c r="G198" s="37"/>
      <c r="H198" s="35" t="s">
        <v>377</v>
      </c>
      <c r="I198" s="37"/>
      <c r="J198" s="37">
        <v>480</v>
      </c>
      <c r="K198" s="36" t="s">
        <v>101</v>
      </c>
      <c r="L198" s="37"/>
      <c r="M198" s="35"/>
      <c r="N198" s="35"/>
      <c r="O198" s="36" t="s">
        <v>102</v>
      </c>
      <c r="P198" s="37" t="b">
        <v>1</v>
      </c>
      <c r="Q198" s="37">
        <v>0</v>
      </c>
      <c r="R198" s="37">
        <v>0</v>
      </c>
      <c r="S198" s="37" t="b">
        <v>0</v>
      </c>
      <c r="T198" s="35"/>
      <c r="U198" s="37">
        <v>0</v>
      </c>
      <c r="V198" s="35"/>
      <c r="W198" s="35"/>
      <c r="X198" s="35"/>
      <c r="Y198" s="35"/>
      <c r="Z198" s="38"/>
      <c r="AA198" s="36"/>
      <c r="AB198" s="39">
        <v>41481.472951388889</v>
      </c>
      <c r="AC198" s="40">
        <v>119</v>
      </c>
      <c r="AD198" s="36" t="s">
        <v>103</v>
      </c>
      <c r="AE198" s="35" t="s">
        <v>104</v>
      </c>
      <c r="AF198" s="35" t="s">
        <v>105</v>
      </c>
      <c r="AJ198" s="61">
        <v>90</v>
      </c>
      <c r="AK198" s="61">
        <v>90</v>
      </c>
      <c r="AL198" s="34" t="s">
        <v>603</v>
      </c>
    </row>
    <row r="199" spans="1:38">
      <c r="A199" s="35"/>
      <c r="B199" s="35" t="s">
        <v>395</v>
      </c>
      <c r="C199" s="36" t="s">
        <v>331</v>
      </c>
      <c r="D199" s="35"/>
      <c r="E199" s="37" t="b">
        <v>1</v>
      </c>
      <c r="F199" s="37" t="b">
        <v>0</v>
      </c>
      <c r="G199" s="37"/>
      <c r="H199" s="35" t="s">
        <v>377</v>
      </c>
      <c r="I199" s="37"/>
      <c r="J199" s="37">
        <v>480</v>
      </c>
      <c r="K199" s="36" t="s">
        <v>101</v>
      </c>
      <c r="L199" s="37"/>
      <c r="M199" s="35"/>
      <c r="N199" s="35"/>
      <c r="O199" s="36" t="s">
        <v>102</v>
      </c>
      <c r="P199" s="37" t="b">
        <v>1</v>
      </c>
      <c r="Q199" s="37">
        <v>0</v>
      </c>
      <c r="R199" s="37">
        <v>0</v>
      </c>
      <c r="S199" s="37" t="b">
        <v>0</v>
      </c>
      <c r="T199" s="35"/>
      <c r="U199" s="37">
        <v>0</v>
      </c>
      <c r="V199" s="35"/>
      <c r="W199" s="35"/>
      <c r="X199" s="35"/>
      <c r="Y199" s="35"/>
      <c r="Z199" s="38"/>
      <c r="AA199" s="36"/>
      <c r="AB199" s="39">
        <v>41481.472951388889</v>
      </c>
      <c r="AC199" s="40">
        <v>120</v>
      </c>
      <c r="AD199" s="36" t="s">
        <v>103</v>
      </c>
      <c r="AE199" s="35" t="s">
        <v>104</v>
      </c>
      <c r="AF199" s="35" t="s">
        <v>105</v>
      </c>
      <c r="AJ199" s="61">
        <v>90</v>
      </c>
      <c r="AK199" s="61">
        <v>90</v>
      </c>
      <c r="AL199" s="34" t="s">
        <v>603</v>
      </c>
    </row>
    <row r="200" spans="1:38" hidden="1">
      <c r="A200" s="35"/>
      <c r="B200" s="35" t="s">
        <v>396</v>
      </c>
      <c r="C200" s="36" t="s">
        <v>331</v>
      </c>
      <c r="D200" s="35"/>
      <c r="E200" s="37" t="b">
        <v>0</v>
      </c>
      <c r="F200" s="37" t="b">
        <v>1</v>
      </c>
      <c r="G200" s="37"/>
      <c r="H200" s="35"/>
      <c r="I200" s="37">
        <v>0</v>
      </c>
      <c r="J200" s="37"/>
      <c r="K200" s="36" t="s">
        <v>101</v>
      </c>
      <c r="L200" s="37"/>
      <c r="M200" s="35"/>
      <c r="N200" s="35"/>
      <c r="O200" s="36" t="s">
        <v>102</v>
      </c>
      <c r="P200" s="37" t="b">
        <v>1</v>
      </c>
      <c r="Q200" s="37">
        <v>0</v>
      </c>
      <c r="R200" s="37">
        <v>0</v>
      </c>
      <c r="S200" s="37" t="b">
        <v>0</v>
      </c>
      <c r="T200" s="35"/>
      <c r="U200" s="37">
        <v>0</v>
      </c>
      <c r="V200" s="35"/>
      <c r="W200" s="35"/>
      <c r="X200" s="35"/>
      <c r="Y200" s="35"/>
      <c r="Z200" s="38"/>
      <c r="AA200" s="36"/>
      <c r="AB200" s="39">
        <v>41481.472951388889</v>
      </c>
      <c r="AC200" s="40">
        <v>121</v>
      </c>
      <c r="AD200" s="36" t="s">
        <v>103</v>
      </c>
      <c r="AE200" s="35" t="s">
        <v>104</v>
      </c>
      <c r="AF200" s="35" t="s">
        <v>105</v>
      </c>
    </row>
    <row r="201" spans="1:38">
      <c r="A201" s="35"/>
      <c r="B201" s="35" t="s">
        <v>397</v>
      </c>
      <c r="C201" s="36" t="s">
        <v>331</v>
      </c>
      <c r="D201" s="35"/>
      <c r="E201" s="37" t="b">
        <v>1</v>
      </c>
      <c r="F201" s="37" t="b">
        <v>0</v>
      </c>
      <c r="G201" s="37"/>
      <c r="H201" s="35"/>
      <c r="I201" s="37">
        <v>0.33</v>
      </c>
      <c r="J201" s="37">
        <v>120</v>
      </c>
      <c r="K201" s="36" t="s">
        <v>101</v>
      </c>
      <c r="L201" s="37"/>
      <c r="M201" s="35"/>
      <c r="N201" s="35"/>
      <c r="O201" s="36" t="s">
        <v>102</v>
      </c>
      <c r="P201" s="37" t="b">
        <v>1</v>
      </c>
      <c r="Q201" s="37">
        <v>0.24608067</v>
      </c>
      <c r="R201" s="37">
        <v>0</v>
      </c>
      <c r="S201" s="37" t="b">
        <v>0</v>
      </c>
      <c r="T201" s="35"/>
      <c r="U201" s="37">
        <v>0</v>
      </c>
      <c r="V201" s="35"/>
      <c r="W201" s="35"/>
      <c r="X201" s="35"/>
      <c r="Y201" s="35"/>
      <c r="Z201" s="38"/>
      <c r="AA201" s="36"/>
      <c r="AB201" s="39">
        <v>41481.472951388889</v>
      </c>
      <c r="AC201" s="40">
        <v>148</v>
      </c>
      <c r="AD201" s="36" t="s">
        <v>103</v>
      </c>
      <c r="AE201" s="35" t="s">
        <v>104</v>
      </c>
      <c r="AF201" s="35" t="s">
        <v>105</v>
      </c>
    </row>
    <row r="202" spans="1:38">
      <c r="A202" s="35" t="s">
        <v>398</v>
      </c>
      <c r="B202" s="35" t="s">
        <v>399</v>
      </c>
      <c r="C202" s="36" t="s">
        <v>331</v>
      </c>
      <c r="D202" s="35"/>
      <c r="E202" s="37" t="b">
        <v>0</v>
      </c>
      <c r="F202" s="37" t="b">
        <v>1</v>
      </c>
      <c r="G202" s="37"/>
      <c r="H202" s="35"/>
      <c r="I202" s="37">
        <v>0.5</v>
      </c>
      <c r="J202" s="37">
        <v>480</v>
      </c>
      <c r="K202" s="36" t="s">
        <v>138</v>
      </c>
      <c r="L202" s="37"/>
      <c r="M202" s="35"/>
      <c r="N202" s="35"/>
      <c r="O202" s="36" t="s">
        <v>102</v>
      </c>
      <c r="P202" s="37" t="b">
        <v>0</v>
      </c>
      <c r="Q202" s="37">
        <v>0.3728495</v>
      </c>
      <c r="R202" s="37">
        <v>0</v>
      </c>
      <c r="S202" s="37" t="b">
        <v>0</v>
      </c>
      <c r="T202" s="35"/>
      <c r="U202" s="37">
        <v>0</v>
      </c>
      <c r="V202" s="35"/>
      <c r="W202" s="35"/>
      <c r="X202" s="35"/>
      <c r="Y202" s="35"/>
      <c r="Z202" s="38"/>
      <c r="AA202" s="36"/>
      <c r="AB202" s="39">
        <v>41494.405439814815</v>
      </c>
      <c r="AC202" s="40">
        <v>149</v>
      </c>
      <c r="AD202" s="36" t="s">
        <v>103</v>
      </c>
      <c r="AE202" s="35" t="s">
        <v>104</v>
      </c>
      <c r="AF202" s="35" t="s">
        <v>105</v>
      </c>
      <c r="AJ202" s="34">
        <v>0</v>
      </c>
      <c r="AK202" s="34">
        <v>0</v>
      </c>
      <c r="AL202" s="34" t="s">
        <v>553</v>
      </c>
    </row>
    <row r="203" spans="1:38">
      <c r="A203" s="35" t="s">
        <v>400</v>
      </c>
      <c r="B203" s="35" t="s">
        <v>401</v>
      </c>
      <c r="C203" s="36" t="s">
        <v>331</v>
      </c>
      <c r="D203" s="35"/>
      <c r="E203" s="37" t="b">
        <v>1</v>
      </c>
      <c r="F203" s="37" t="b">
        <v>0</v>
      </c>
      <c r="G203" s="37"/>
      <c r="H203" s="35"/>
      <c r="I203" s="37">
        <v>0.5</v>
      </c>
      <c r="J203" s="37">
        <v>480</v>
      </c>
      <c r="K203" s="36" t="s">
        <v>138</v>
      </c>
      <c r="L203" s="37"/>
      <c r="M203" s="35"/>
      <c r="N203" s="35"/>
      <c r="O203" s="36" t="s">
        <v>102</v>
      </c>
      <c r="P203" s="37" t="b">
        <v>0</v>
      </c>
      <c r="Q203" s="37">
        <v>0.3728495</v>
      </c>
      <c r="R203" s="37">
        <v>0</v>
      </c>
      <c r="S203" s="37" t="b">
        <v>0</v>
      </c>
      <c r="T203" s="35"/>
      <c r="U203" s="37">
        <v>0</v>
      </c>
      <c r="V203" s="35"/>
      <c r="W203" s="35"/>
      <c r="X203" s="35"/>
      <c r="Y203" s="35"/>
      <c r="Z203" s="38"/>
      <c r="AA203" s="36"/>
      <c r="AB203" s="39">
        <v>41494.405509259261</v>
      </c>
      <c r="AC203" s="40">
        <v>150</v>
      </c>
      <c r="AD203" s="36" t="s">
        <v>103</v>
      </c>
      <c r="AE203" s="35" t="s">
        <v>104</v>
      </c>
      <c r="AF203" s="35" t="s">
        <v>105</v>
      </c>
      <c r="AJ203" s="34">
        <f>Table_owssvr_1[[#This Row],[Total Connected Load (kW)]]</f>
        <v>0.3728495</v>
      </c>
      <c r="AK203" s="34">
        <f>Table_owssvr_1[[#This Row],[Total Connected Load (kW)]]</f>
        <v>0.3728495</v>
      </c>
      <c r="AL203" s="34" t="s">
        <v>554</v>
      </c>
    </row>
    <row r="204" spans="1:38">
      <c r="A204" s="35" t="s">
        <v>402</v>
      </c>
      <c r="B204" s="35" t="s">
        <v>403</v>
      </c>
      <c r="C204" s="36" t="s">
        <v>331</v>
      </c>
      <c r="D204" s="35"/>
      <c r="E204" s="37" t="b">
        <v>1</v>
      </c>
      <c r="F204" s="37" t="b">
        <v>0</v>
      </c>
      <c r="G204" s="37"/>
      <c r="H204" s="35"/>
      <c r="I204" s="37">
        <v>0.5</v>
      </c>
      <c r="J204" s="37">
        <v>480</v>
      </c>
      <c r="K204" s="36" t="s">
        <v>138</v>
      </c>
      <c r="L204" s="37"/>
      <c r="M204" s="35"/>
      <c r="N204" s="35"/>
      <c r="O204" s="36" t="s">
        <v>102</v>
      </c>
      <c r="P204" s="37" t="b">
        <v>0</v>
      </c>
      <c r="Q204" s="37">
        <v>0.3728495</v>
      </c>
      <c r="R204" s="37">
        <v>0</v>
      </c>
      <c r="S204" s="37" t="b">
        <v>0</v>
      </c>
      <c r="T204" s="35"/>
      <c r="U204" s="37">
        <v>0</v>
      </c>
      <c r="V204" s="35"/>
      <c r="W204" s="35"/>
      <c r="X204" s="35"/>
      <c r="Y204" s="35"/>
      <c r="Z204" s="38"/>
      <c r="AA204" s="36"/>
      <c r="AB204" s="39">
        <v>41494.405624999999</v>
      </c>
      <c r="AC204" s="40">
        <v>151</v>
      </c>
      <c r="AD204" s="36" t="s">
        <v>103</v>
      </c>
      <c r="AE204" s="35" t="s">
        <v>104</v>
      </c>
      <c r="AF204" s="35" t="s">
        <v>105</v>
      </c>
      <c r="AL204" s="34" t="s">
        <v>555</v>
      </c>
    </row>
    <row r="205" spans="1:38" hidden="1">
      <c r="A205" s="35" t="s">
        <v>404</v>
      </c>
      <c r="B205" s="35" t="s">
        <v>405</v>
      </c>
      <c r="C205" s="36" t="s">
        <v>331</v>
      </c>
      <c r="D205" s="35"/>
      <c r="E205" s="37" t="b">
        <v>1</v>
      </c>
      <c r="F205" s="37" t="b">
        <v>0</v>
      </c>
      <c r="G205" s="37"/>
      <c r="H205" s="35"/>
      <c r="I205" s="37">
        <v>0.5</v>
      </c>
      <c r="J205" s="37">
        <v>480</v>
      </c>
      <c r="K205" s="36" t="s">
        <v>138</v>
      </c>
      <c r="L205" s="37"/>
      <c r="M205" s="35"/>
      <c r="N205" s="35"/>
      <c r="O205" s="36" t="s">
        <v>102</v>
      </c>
      <c r="P205" s="37" t="b">
        <v>0</v>
      </c>
      <c r="Q205" s="37">
        <v>0.3728495</v>
      </c>
      <c r="R205" s="37">
        <v>0</v>
      </c>
      <c r="S205" s="37" t="b">
        <v>0</v>
      </c>
      <c r="T205" s="35"/>
      <c r="U205" s="37">
        <v>0</v>
      </c>
      <c r="V205" s="35"/>
      <c r="W205" s="35"/>
      <c r="X205" s="35"/>
      <c r="Y205" s="35"/>
      <c r="Z205" s="38"/>
      <c r="AA205" s="36"/>
      <c r="AB205" s="39">
        <v>41493.676886574074</v>
      </c>
      <c r="AC205" s="40">
        <v>152</v>
      </c>
      <c r="AD205" s="36" t="s">
        <v>103</v>
      </c>
      <c r="AE205" s="35" t="s">
        <v>104</v>
      </c>
      <c r="AF205" s="35" t="s">
        <v>105</v>
      </c>
    </row>
    <row r="206" spans="1:38">
      <c r="A206" s="35" t="s">
        <v>406</v>
      </c>
      <c r="B206" s="35" t="s">
        <v>407</v>
      </c>
      <c r="C206" s="36" t="s">
        <v>331</v>
      </c>
      <c r="D206" s="35"/>
      <c r="E206" s="37" t="b">
        <v>1</v>
      </c>
      <c r="F206" s="37" t="b">
        <v>0</v>
      </c>
      <c r="G206" s="37"/>
      <c r="H206" s="35"/>
      <c r="I206" s="37">
        <v>0.5</v>
      </c>
      <c r="J206" s="37"/>
      <c r="K206" s="36" t="s">
        <v>138</v>
      </c>
      <c r="L206" s="37"/>
      <c r="M206" s="35"/>
      <c r="N206" s="35"/>
      <c r="O206" s="36" t="s">
        <v>102</v>
      </c>
      <c r="P206" s="37" t="b">
        <v>0</v>
      </c>
      <c r="Q206" s="37">
        <v>0.3728495</v>
      </c>
      <c r="R206" s="37">
        <v>0</v>
      </c>
      <c r="S206" s="37" t="b">
        <v>0</v>
      </c>
      <c r="T206" s="35"/>
      <c r="U206" s="37">
        <v>0</v>
      </c>
      <c r="V206" s="35"/>
      <c r="W206" s="35"/>
      <c r="X206" s="35"/>
      <c r="Y206" s="35"/>
      <c r="Z206" s="38"/>
      <c r="AA206" s="36"/>
      <c r="AB206" s="39">
        <v>41481.487847222219</v>
      </c>
      <c r="AC206" s="40">
        <v>153</v>
      </c>
      <c r="AD206" s="36" t="s">
        <v>103</v>
      </c>
      <c r="AE206" s="35" t="s">
        <v>104</v>
      </c>
      <c r="AF206" s="35" t="s">
        <v>105</v>
      </c>
      <c r="AJ206" s="34">
        <f>Table_owssvr_1[[#This Row],[Total Connected Load (kW)]]</f>
        <v>0.3728495</v>
      </c>
      <c r="AK206" s="34">
        <f>0</f>
        <v>0</v>
      </c>
    </row>
    <row r="207" spans="1:38">
      <c r="A207" s="35" t="s">
        <v>408</v>
      </c>
      <c r="B207" s="35" t="s">
        <v>409</v>
      </c>
      <c r="C207" s="36" t="s">
        <v>331</v>
      </c>
      <c r="D207" s="35"/>
      <c r="E207" s="37" t="b">
        <v>0</v>
      </c>
      <c r="F207" s="37" t="b">
        <v>1</v>
      </c>
      <c r="G207" s="37"/>
      <c r="H207" s="35"/>
      <c r="I207" s="37">
        <v>0.5</v>
      </c>
      <c r="J207" s="37"/>
      <c r="K207" s="36" t="s">
        <v>138</v>
      </c>
      <c r="L207" s="37"/>
      <c r="M207" s="35"/>
      <c r="N207" s="35"/>
      <c r="O207" s="36" t="s">
        <v>102</v>
      </c>
      <c r="P207" s="37" t="b">
        <v>0</v>
      </c>
      <c r="Q207" s="37">
        <v>0.3728495</v>
      </c>
      <c r="R207" s="37">
        <v>0</v>
      </c>
      <c r="S207" s="37" t="b">
        <v>0</v>
      </c>
      <c r="T207" s="35"/>
      <c r="U207" s="37">
        <v>0</v>
      </c>
      <c r="V207" s="35"/>
      <c r="W207" s="35"/>
      <c r="X207" s="35"/>
      <c r="Y207" s="35"/>
      <c r="Z207" s="38"/>
      <c r="AA207" s="36"/>
      <c r="AB207" s="39">
        <v>41481.487881944442</v>
      </c>
      <c r="AC207" s="40">
        <v>154</v>
      </c>
      <c r="AD207" s="36" t="s">
        <v>103</v>
      </c>
      <c r="AE207" s="35" t="s">
        <v>104</v>
      </c>
      <c r="AF207" s="35" t="s">
        <v>105</v>
      </c>
      <c r="AJ207" s="34">
        <f>Table_owssvr_1[[#This Row],[Total Connected Load (kW)]]</f>
        <v>0.3728495</v>
      </c>
      <c r="AK207" s="34">
        <v>0</v>
      </c>
    </row>
    <row r="208" spans="1:38">
      <c r="A208" s="35" t="s">
        <v>410</v>
      </c>
      <c r="B208" s="35" t="s">
        <v>411</v>
      </c>
      <c r="C208" s="36" t="s">
        <v>331</v>
      </c>
      <c r="D208" s="35"/>
      <c r="E208" s="37" t="b">
        <v>1</v>
      </c>
      <c r="F208" s="37" t="b">
        <v>0</v>
      </c>
      <c r="G208" s="37"/>
      <c r="H208" s="35"/>
      <c r="I208" s="37">
        <v>0.5</v>
      </c>
      <c r="J208" s="37"/>
      <c r="K208" s="36" t="s">
        <v>138</v>
      </c>
      <c r="L208" s="37"/>
      <c r="M208" s="35"/>
      <c r="N208" s="35"/>
      <c r="O208" s="36" t="s">
        <v>102</v>
      </c>
      <c r="P208" s="37" t="b">
        <v>0</v>
      </c>
      <c r="Q208" s="37">
        <v>0.3728495</v>
      </c>
      <c r="R208" s="37">
        <v>0</v>
      </c>
      <c r="S208" s="37" t="b">
        <v>0</v>
      </c>
      <c r="T208" s="35"/>
      <c r="U208" s="37">
        <v>0</v>
      </c>
      <c r="V208" s="35"/>
      <c r="W208" s="35"/>
      <c r="X208" s="35"/>
      <c r="Y208" s="35"/>
      <c r="Z208" s="38"/>
      <c r="AA208" s="36"/>
      <c r="AB208" s="39">
        <v>41493.700914351852</v>
      </c>
      <c r="AC208" s="40">
        <v>155</v>
      </c>
      <c r="AD208" s="36" t="s">
        <v>103</v>
      </c>
      <c r="AE208" s="35" t="s">
        <v>104</v>
      </c>
      <c r="AF208" s="35" t="s">
        <v>105</v>
      </c>
      <c r="AJ208" s="34">
        <v>0</v>
      </c>
      <c r="AK208" s="34">
        <v>0</v>
      </c>
      <c r="AL208" s="34" t="s">
        <v>556</v>
      </c>
    </row>
    <row r="209" spans="1:38" hidden="1">
      <c r="A209" s="35"/>
      <c r="B209" s="35" t="s">
        <v>412</v>
      </c>
      <c r="C209" s="36" t="s">
        <v>331</v>
      </c>
      <c r="D209" s="35"/>
      <c r="E209" s="37" t="b">
        <v>0</v>
      </c>
      <c r="F209" s="37" t="b">
        <v>1</v>
      </c>
      <c r="G209" s="37"/>
      <c r="H209" s="35"/>
      <c r="I209" s="37">
        <v>0.5</v>
      </c>
      <c r="J209" s="37"/>
      <c r="K209" s="36" t="s">
        <v>138</v>
      </c>
      <c r="L209" s="37"/>
      <c r="M209" s="35"/>
      <c r="N209" s="35"/>
      <c r="O209" s="36" t="s">
        <v>102</v>
      </c>
      <c r="P209" s="37" t="b">
        <v>0</v>
      </c>
      <c r="Q209" s="37">
        <v>0.3728495</v>
      </c>
      <c r="R209" s="37">
        <v>0</v>
      </c>
      <c r="S209" s="37" t="b">
        <v>0</v>
      </c>
      <c r="T209" s="35"/>
      <c r="U209" s="37">
        <v>0</v>
      </c>
      <c r="V209" s="35"/>
      <c r="W209" s="35"/>
      <c r="X209" s="35"/>
      <c r="Y209" s="35"/>
      <c r="Z209" s="38"/>
      <c r="AA209" s="36"/>
      <c r="AB209" s="39">
        <v>41481.472962962966</v>
      </c>
      <c r="AC209" s="40">
        <v>156</v>
      </c>
      <c r="AD209" s="36" t="s">
        <v>103</v>
      </c>
      <c r="AE209" s="35" t="s">
        <v>104</v>
      </c>
      <c r="AF209" s="35" t="s">
        <v>105</v>
      </c>
      <c r="AL209" s="34" t="s">
        <v>558</v>
      </c>
    </row>
    <row r="210" spans="1:38">
      <c r="A210" s="35" t="s">
        <v>413</v>
      </c>
      <c r="B210" s="35" t="s">
        <v>414</v>
      </c>
      <c r="C210" s="36" t="s">
        <v>331</v>
      </c>
      <c r="D210" s="35"/>
      <c r="E210" s="37" t="b">
        <v>0</v>
      </c>
      <c r="F210" s="37" t="b">
        <v>1</v>
      </c>
      <c r="G210" s="37"/>
      <c r="H210" s="35"/>
      <c r="I210" s="37">
        <v>0.25</v>
      </c>
      <c r="J210" s="37">
        <v>120</v>
      </c>
      <c r="K210" s="36" t="s">
        <v>138</v>
      </c>
      <c r="L210" s="37"/>
      <c r="M210" s="35"/>
      <c r="N210" s="35"/>
      <c r="O210" s="36" t="s">
        <v>102</v>
      </c>
      <c r="P210" s="37" t="b">
        <v>0</v>
      </c>
      <c r="Q210" s="37">
        <v>0.18642475</v>
      </c>
      <c r="R210" s="37">
        <v>0</v>
      </c>
      <c r="S210" s="37" t="b">
        <v>0</v>
      </c>
      <c r="T210" s="35"/>
      <c r="U210" s="37">
        <v>0</v>
      </c>
      <c r="V210" s="35"/>
      <c r="W210" s="35"/>
      <c r="X210" s="35"/>
      <c r="Y210" s="35"/>
      <c r="Z210" s="38"/>
      <c r="AA210" s="36"/>
      <c r="AB210" s="39">
        <v>41493.702650462961</v>
      </c>
      <c r="AC210" s="40">
        <v>157</v>
      </c>
      <c r="AD210" s="36" t="s">
        <v>103</v>
      </c>
      <c r="AE210" s="35" t="s">
        <v>104</v>
      </c>
      <c r="AF210" s="35" t="s">
        <v>105</v>
      </c>
      <c r="AJ210" s="34">
        <v>0</v>
      </c>
      <c r="AK210" s="34">
        <v>0</v>
      </c>
      <c r="AL210" s="34" t="s">
        <v>557</v>
      </c>
    </row>
    <row r="211" spans="1:38">
      <c r="A211" s="35"/>
      <c r="B211" s="35" t="s">
        <v>415</v>
      </c>
      <c r="C211" s="36" t="s">
        <v>331</v>
      </c>
      <c r="D211" s="35"/>
      <c r="E211" s="37" t="b">
        <v>1</v>
      </c>
      <c r="F211" s="37" t="b">
        <v>0</v>
      </c>
      <c r="G211" s="37"/>
      <c r="H211" s="35" t="s">
        <v>416</v>
      </c>
      <c r="I211" s="37"/>
      <c r="J211" s="37">
        <v>480</v>
      </c>
      <c r="K211" s="36" t="s">
        <v>101</v>
      </c>
      <c r="L211" s="37"/>
      <c r="M211" s="35"/>
      <c r="N211" s="35"/>
      <c r="O211" s="36" t="s">
        <v>102</v>
      </c>
      <c r="P211" s="37" t="b">
        <v>1</v>
      </c>
      <c r="Q211" s="37">
        <v>0</v>
      </c>
      <c r="R211" s="37">
        <v>0</v>
      </c>
      <c r="S211" s="37" t="b">
        <v>0</v>
      </c>
      <c r="T211" s="35"/>
      <c r="U211" s="37">
        <v>0</v>
      </c>
      <c r="V211" s="35"/>
      <c r="W211" s="35"/>
      <c r="X211" s="35"/>
      <c r="Y211" s="35"/>
      <c r="Z211" s="38"/>
      <c r="AA211" s="36"/>
      <c r="AB211" s="39">
        <v>41481.472962962966</v>
      </c>
      <c r="AC211" s="40">
        <v>158</v>
      </c>
      <c r="AD211" s="36" t="s">
        <v>103</v>
      </c>
      <c r="AE211" s="35" t="s">
        <v>104</v>
      </c>
      <c r="AF211" s="35" t="s">
        <v>105</v>
      </c>
      <c r="AJ211" s="46">
        <v>10</v>
      </c>
      <c r="AK211" s="46">
        <v>10</v>
      </c>
    </row>
    <row r="212" spans="1:38">
      <c r="A212" s="35"/>
      <c r="B212" s="35" t="s">
        <v>417</v>
      </c>
      <c r="C212" s="36" t="s">
        <v>331</v>
      </c>
      <c r="D212" s="35"/>
      <c r="E212" s="37" t="b">
        <v>1</v>
      </c>
      <c r="F212" s="37" t="b">
        <v>0</v>
      </c>
      <c r="G212" s="37"/>
      <c r="H212" s="35" t="s">
        <v>416</v>
      </c>
      <c r="I212" s="37"/>
      <c r="J212" s="37">
        <v>480</v>
      </c>
      <c r="K212" s="36" t="s">
        <v>101</v>
      </c>
      <c r="L212" s="37"/>
      <c r="M212" s="35"/>
      <c r="N212" s="35"/>
      <c r="O212" s="36" t="s">
        <v>102</v>
      </c>
      <c r="P212" s="37" t="b">
        <v>1</v>
      </c>
      <c r="Q212" s="37">
        <v>0</v>
      </c>
      <c r="R212" s="37">
        <v>0</v>
      </c>
      <c r="S212" s="37" t="b">
        <v>0</v>
      </c>
      <c r="T212" s="35"/>
      <c r="U212" s="37">
        <v>0</v>
      </c>
      <c r="V212" s="35"/>
      <c r="W212" s="35"/>
      <c r="X212" s="35"/>
      <c r="Y212" s="35"/>
      <c r="Z212" s="38"/>
      <c r="AA212" s="36"/>
      <c r="AB212" s="39">
        <v>41481.472962962966</v>
      </c>
      <c r="AC212" s="40">
        <v>159</v>
      </c>
      <c r="AD212" s="36" t="s">
        <v>103</v>
      </c>
      <c r="AE212" s="35" t="s">
        <v>104</v>
      </c>
      <c r="AF212" s="35" t="s">
        <v>105</v>
      </c>
      <c r="AJ212" s="46">
        <v>10</v>
      </c>
      <c r="AK212" s="46">
        <v>0</v>
      </c>
    </row>
    <row r="213" spans="1:38">
      <c r="A213" s="35"/>
      <c r="B213" s="35" t="s">
        <v>418</v>
      </c>
      <c r="C213" s="36" t="s">
        <v>331</v>
      </c>
      <c r="D213" s="35"/>
      <c r="E213" s="37" t="b">
        <v>1</v>
      </c>
      <c r="F213" s="37" t="b">
        <v>0</v>
      </c>
      <c r="G213" s="37"/>
      <c r="H213" s="35"/>
      <c r="I213" s="37">
        <v>0.3</v>
      </c>
      <c r="J213" s="37">
        <v>120</v>
      </c>
      <c r="K213" s="36" t="s">
        <v>101</v>
      </c>
      <c r="L213" s="37"/>
      <c r="M213" s="35"/>
      <c r="N213" s="35"/>
      <c r="O213" s="36" t="s">
        <v>102</v>
      </c>
      <c r="P213" s="37" t="b">
        <v>1</v>
      </c>
      <c r="Q213" s="37">
        <v>0.22370970000000001</v>
      </c>
      <c r="R213" s="37">
        <v>0</v>
      </c>
      <c r="S213" s="37" t="b">
        <v>0</v>
      </c>
      <c r="T213" s="35"/>
      <c r="U213" s="37">
        <v>0</v>
      </c>
      <c r="V213" s="35"/>
      <c r="W213" s="35"/>
      <c r="X213" s="35"/>
      <c r="Y213" s="35"/>
      <c r="Z213" s="38"/>
      <c r="AA213" s="36"/>
      <c r="AB213" s="39">
        <v>41481.472962962966</v>
      </c>
      <c r="AC213" s="40">
        <v>160</v>
      </c>
      <c r="AD213" s="36" t="s">
        <v>103</v>
      </c>
      <c r="AE213" s="35" t="s">
        <v>104</v>
      </c>
      <c r="AF213" s="35" t="s">
        <v>105</v>
      </c>
      <c r="AJ213" s="34">
        <f>Table_owssvr_1[[#This Row],[Total Connected Load (kW)]]</f>
        <v>0.22370970000000001</v>
      </c>
      <c r="AK213" s="34">
        <f>Table_owssvr_1[[#This Row],[Total Connected Load (kW)]]</f>
        <v>0.22370970000000001</v>
      </c>
    </row>
    <row r="214" spans="1:38">
      <c r="A214" s="35"/>
      <c r="B214" s="35" t="s">
        <v>419</v>
      </c>
      <c r="C214" s="36" t="s">
        <v>331</v>
      </c>
      <c r="D214" s="35"/>
      <c r="E214" s="37" t="b">
        <v>1</v>
      </c>
      <c r="F214" s="37" t="b">
        <v>0</v>
      </c>
      <c r="G214" s="37"/>
      <c r="H214" s="35" t="s">
        <v>420</v>
      </c>
      <c r="I214" s="37"/>
      <c r="J214" s="37"/>
      <c r="K214" s="36" t="s">
        <v>101</v>
      </c>
      <c r="L214" s="37"/>
      <c r="M214" s="35"/>
      <c r="N214" s="35"/>
      <c r="O214" s="36" t="s">
        <v>102</v>
      </c>
      <c r="P214" s="37" t="b">
        <v>1</v>
      </c>
      <c r="Q214" s="37">
        <v>0</v>
      </c>
      <c r="R214" s="37">
        <v>0</v>
      </c>
      <c r="S214" s="37" t="b">
        <v>0</v>
      </c>
      <c r="T214" s="35"/>
      <c r="U214" s="37">
        <v>0</v>
      </c>
      <c r="V214" s="35"/>
      <c r="W214" s="35"/>
      <c r="X214" s="35"/>
      <c r="Y214" s="35"/>
      <c r="Z214" s="38"/>
      <c r="AA214" s="36"/>
      <c r="AB214" s="39">
        <v>41481.472962962966</v>
      </c>
      <c r="AC214" s="40">
        <v>161</v>
      </c>
      <c r="AD214" s="36" t="s">
        <v>103</v>
      </c>
      <c r="AE214" s="35" t="s">
        <v>104</v>
      </c>
      <c r="AF214" s="35" t="s">
        <v>105</v>
      </c>
      <c r="AJ214" s="45">
        <v>0</v>
      </c>
      <c r="AK214" s="34">
        <v>0</v>
      </c>
    </row>
    <row r="215" spans="1:38">
      <c r="A215" s="35"/>
      <c r="B215" s="35" t="s">
        <v>421</v>
      </c>
      <c r="C215" s="36" t="s">
        <v>331</v>
      </c>
      <c r="D215" s="35"/>
      <c r="E215" s="37" t="b">
        <v>1</v>
      </c>
      <c r="F215" s="37" t="b">
        <v>0</v>
      </c>
      <c r="G215" s="37"/>
      <c r="H215" s="35"/>
      <c r="I215" s="37">
        <v>0.3</v>
      </c>
      <c r="J215" s="37">
        <v>120</v>
      </c>
      <c r="K215" s="36" t="s">
        <v>101</v>
      </c>
      <c r="L215" s="37"/>
      <c r="M215" s="35"/>
      <c r="N215" s="35"/>
      <c r="O215" s="36" t="s">
        <v>102</v>
      </c>
      <c r="P215" s="37" t="b">
        <v>1</v>
      </c>
      <c r="Q215" s="37">
        <v>0.22370970000000001</v>
      </c>
      <c r="R215" s="37">
        <v>0</v>
      </c>
      <c r="S215" s="37" t="b">
        <v>0</v>
      </c>
      <c r="T215" s="35"/>
      <c r="U215" s="37">
        <v>0</v>
      </c>
      <c r="V215" s="35"/>
      <c r="W215" s="35"/>
      <c r="X215" s="35"/>
      <c r="Y215" s="35"/>
      <c r="Z215" s="38"/>
      <c r="AA215" s="36"/>
      <c r="AB215" s="39">
        <v>41481.472962962966</v>
      </c>
      <c r="AC215" s="40">
        <v>162</v>
      </c>
      <c r="AD215" s="36" t="s">
        <v>103</v>
      </c>
      <c r="AE215" s="35" t="s">
        <v>104</v>
      </c>
      <c r="AF215" s="35" t="s">
        <v>105</v>
      </c>
      <c r="AJ215" s="34">
        <f>Table_owssvr_1[[#This Row],[Total Connected Load (kW)]]</f>
        <v>0.22370970000000001</v>
      </c>
      <c r="AK215" s="34">
        <f>Table_owssvr_1[[#This Row],[Total Connected Load (kW)]]</f>
        <v>0.22370970000000001</v>
      </c>
    </row>
    <row r="216" spans="1:38" hidden="1">
      <c r="A216" s="35"/>
      <c r="B216" s="35" t="s">
        <v>422</v>
      </c>
      <c r="C216" s="36" t="s">
        <v>331</v>
      </c>
      <c r="D216" s="35"/>
      <c r="E216" s="37" t="b">
        <v>1</v>
      </c>
      <c r="F216" s="37" t="b">
        <v>0</v>
      </c>
      <c r="G216" s="37"/>
      <c r="H216" s="35"/>
      <c r="I216" s="37">
        <v>0.25</v>
      </c>
      <c r="J216" s="37">
        <v>480</v>
      </c>
      <c r="K216" s="36" t="s">
        <v>138</v>
      </c>
      <c r="L216" s="37"/>
      <c r="M216" s="35"/>
      <c r="N216" s="35"/>
      <c r="O216" s="36" t="s">
        <v>102</v>
      </c>
      <c r="P216" s="37" t="b">
        <v>0</v>
      </c>
      <c r="Q216" s="37">
        <v>0.18642475</v>
      </c>
      <c r="R216" s="37">
        <v>0</v>
      </c>
      <c r="S216" s="37" t="b">
        <v>0</v>
      </c>
      <c r="T216" s="35"/>
      <c r="U216" s="37">
        <v>0</v>
      </c>
      <c r="V216" s="35"/>
      <c r="W216" s="35"/>
      <c r="X216" s="35"/>
      <c r="Y216" s="35"/>
      <c r="Z216" s="38"/>
      <c r="AA216" s="36"/>
      <c r="AB216" s="39">
        <v>41481.472962962966</v>
      </c>
      <c r="AC216" s="40">
        <v>163</v>
      </c>
      <c r="AD216" s="36" t="s">
        <v>103</v>
      </c>
      <c r="AE216" s="35" t="s">
        <v>104</v>
      </c>
      <c r="AF216" s="35" t="s">
        <v>105</v>
      </c>
    </row>
    <row r="217" spans="1:38" hidden="1">
      <c r="A217" s="35"/>
      <c r="B217" s="35" t="s">
        <v>423</v>
      </c>
      <c r="C217" s="36" t="s">
        <v>331</v>
      </c>
      <c r="D217" s="35"/>
      <c r="E217" s="37" t="b">
        <v>0</v>
      </c>
      <c r="F217" s="37" t="b">
        <v>1</v>
      </c>
      <c r="G217" s="37"/>
      <c r="H217" s="35"/>
      <c r="I217" s="37">
        <v>0.25</v>
      </c>
      <c r="J217" s="37">
        <v>480</v>
      </c>
      <c r="K217" s="36" t="s">
        <v>138</v>
      </c>
      <c r="L217" s="37"/>
      <c r="M217" s="35"/>
      <c r="N217" s="35"/>
      <c r="O217" s="36" t="s">
        <v>102</v>
      </c>
      <c r="P217" s="37" t="b">
        <v>0</v>
      </c>
      <c r="Q217" s="37">
        <v>0.18642475</v>
      </c>
      <c r="R217" s="37">
        <v>0</v>
      </c>
      <c r="S217" s="37" t="b">
        <v>0</v>
      </c>
      <c r="T217" s="35"/>
      <c r="U217" s="37">
        <v>0</v>
      </c>
      <c r="V217" s="35"/>
      <c r="W217" s="35"/>
      <c r="X217" s="35"/>
      <c r="Y217" s="35"/>
      <c r="Z217" s="38"/>
      <c r="AA217" s="36"/>
      <c r="AB217" s="39">
        <v>41481.472974537035</v>
      </c>
      <c r="AC217" s="40">
        <v>164</v>
      </c>
      <c r="AD217" s="36" t="s">
        <v>103</v>
      </c>
      <c r="AE217" s="35" t="s">
        <v>104</v>
      </c>
      <c r="AF217" s="35" t="s">
        <v>105</v>
      </c>
    </row>
    <row r="218" spans="1:38">
      <c r="A218" s="35" t="s">
        <v>424</v>
      </c>
      <c r="B218" s="35" t="s">
        <v>425</v>
      </c>
      <c r="C218" s="36" t="s">
        <v>331</v>
      </c>
      <c r="D218" s="35"/>
      <c r="E218" s="37" t="b">
        <v>0</v>
      </c>
      <c r="F218" s="37" t="b">
        <v>1</v>
      </c>
      <c r="G218" s="37"/>
      <c r="H218" s="35"/>
      <c r="I218" s="37">
        <v>0.5</v>
      </c>
      <c r="J218" s="37">
        <v>480</v>
      </c>
      <c r="K218" s="36" t="s">
        <v>138</v>
      </c>
      <c r="L218" s="37"/>
      <c r="M218" s="35"/>
      <c r="N218" s="35"/>
      <c r="O218" s="36" t="s">
        <v>102</v>
      </c>
      <c r="P218" s="37" t="b">
        <v>0</v>
      </c>
      <c r="Q218" s="37">
        <v>0.3728495</v>
      </c>
      <c r="R218" s="37">
        <v>0</v>
      </c>
      <c r="S218" s="37" t="b">
        <v>0</v>
      </c>
      <c r="T218" s="35"/>
      <c r="U218" s="37">
        <v>0</v>
      </c>
      <c r="V218" s="35"/>
      <c r="W218" s="35"/>
      <c r="X218" s="35"/>
      <c r="Y218" s="35"/>
      <c r="Z218" s="38"/>
      <c r="AA218" s="36"/>
      <c r="AB218" s="39">
        <v>41493.705787037034</v>
      </c>
      <c r="AC218" s="40">
        <v>165</v>
      </c>
      <c r="AD218" s="36" t="s">
        <v>103</v>
      </c>
      <c r="AE218" s="35" t="s">
        <v>104</v>
      </c>
      <c r="AF218" s="35" t="s">
        <v>105</v>
      </c>
      <c r="AJ218" s="34">
        <f>Table_owssvr_1[[#This Row],[Total Connected Load (kW)]]</f>
        <v>0.3728495</v>
      </c>
      <c r="AK218" s="34">
        <f>Table_owssvr_1[[#This Row],[Total Connected Load (kW)]]</f>
        <v>0.3728495</v>
      </c>
    </row>
    <row r="219" spans="1:38" hidden="1">
      <c r="A219" s="35" t="s">
        <v>426</v>
      </c>
      <c r="B219" s="35" t="s">
        <v>427</v>
      </c>
      <c r="C219" s="36" t="s">
        <v>331</v>
      </c>
      <c r="D219" s="35"/>
      <c r="E219" s="37" t="b">
        <v>1</v>
      </c>
      <c r="F219" s="37" t="b">
        <v>0</v>
      </c>
      <c r="G219" s="37"/>
      <c r="H219" s="35"/>
      <c r="I219" s="37">
        <v>0.5</v>
      </c>
      <c r="J219" s="37">
        <v>480</v>
      </c>
      <c r="K219" s="36" t="s">
        <v>138</v>
      </c>
      <c r="L219" s="37"/>
      <c r="M219" s="35"/>
      <c r="N219" s="35"/>
      <c r="O219" s="36" t="s">
        <v>102</v>
      </c>
      <c r="P219" s="37" t="b">
        <v>0</v>
      </c>
      <c r="Q219" s="37">
        <v>0.3728495</v>
      </c>
      <c r="R219" s="37">
        <v>0</v>
      </c>
      <c r="S219" s="37" t="b">
        <v>0</v>
      </c>
      <c r="T219" s="35"/>
      <c r="U219" s="37">
        <v>0</v>
      </c>
      <c r="V219" s="35"/>
      <c r="W219" s="35"/>
      <c r="X219" s="35"/>
      <c r="Y219" s="35"/>
      <c r="Z219" s="38"/>
      <c r="AA219" s="36"/>
      <c r="AB219" s="39">
        <v>41493.706030092595</v>
      </c>
      <c r="AC219" s="40">
        <v>166</v>
      </c>
      <c r="AD219" s="36" t="s">
        <v>103</v>
      </c>
      <c r="AE219" s="35" t="s">
        <v>104</v>
      </c>
      <c r="AF219" s="35" t="s">
        <v>105</v>
      </c>
    </row>
    <row r="220" spans="1:38" hidden="1">
      <c r="A220" s="35"/>
      <c r="B220" s="35" t="s">
        <v>428</v>
      </c>
      <c r="C220" s="36" t="s">
        <v>331</v>
      </c>
      <c r="D220" s="35"/>
      <c r="E220" s="37" t="b">
        <v>0</v>
      </c>
      <c r="F220" s="37" t="b">
        <v>1</v>
      </c>
      <c r="G220" s="37"/>
      <c r="H220" s="35"/>
      <c r="I220" s="37">
        <v>0.5</v>
      </c>
      <c r="J220" s="37">
        <v>480</v>
      </c>
      <c r="K220" s="36" t="s">
        <v>138</v>
      </c>
      <c r="L220" s="37"/>
      <c r="M220" s="35"/>
      <c r="N220" s="35"/>
      <c r="O220" s="36" t="s">
        <v>102</v>
      </c>
      <c r="P220" s="37" t="b">
        <v>0</v>
      </c>
      <c r="Q220" s="37">
        <v>0.3728495</v>
      </c>
      <c r="R220" s="37">
        <v>0</v>
      </c>
      <c r="S220" s="37" t="b">
        <v>0</v>
      </c>
      <c r="T220" s="35"/>
      <c r="U220" s="37">
        <v>0</v>
      </c>
      <c r="V220" s="35"/>
      <c r="W220" s="35"/>
      <c r="X220" s="35"/>
      <c r="Y220" s="35"/>
      <c r="Z220" s="38"/>
      <c r="AA220" s="36"/>
      <c r="AB220" s="39">
        <v>41481.472974537035</v>
      </c>
      <c r="AC220" s="40">
        <v>167</v>
      </c>
      <c r="AD220" s="36" t="s">
        <v>103</v>
      </c>
      <c r="AE220" s="35" t="s">
        <v>104</v>
      </c>
      <c r="AF220" s="35" t="s">
        <v>105</v>
      </c>
    </row>
    <row r="221" spans="1:38">
      <c r="A221" s="35"/>
      <c r="B221" s="35" t="s">
        <v>429</v>
      </c>
      <c r="C221" s="36" t="s">
        <v>331</v>
      </c>
      <c r="D221" s="35"/>
      <c r="E221" s="37" t="b">
        <v>1</v>
      </c>
      <c r="F221" s="37" t="b">
        <v>0</v>
      </c>
      <c r="G221" s="37"/>
      <c r="H221" s="35" t="s">
        <v>430</v>
      </c>
      <c r="I221" s="37"/>
      <c r="J221" s="37">
        <v>480</v>
      </c>
      <c r="K221" s="36" t="s">
        <v>101</v>
      </c>
      <c r="L221" s="37"/>
      <c r="M221" s="35"/>
      <c r="N221" s="35"/>
      <c r="O221" s="36" t="s">
        <v>102</v>
      </c>
      <c r="P221" s="37" t="b">
        <v>1</v>
      </c>
      <c r="Q221" s="37">
        <v>12</v>
      </c>
      <c r="R221" s="37">
        <v>0</v>
      </c>
      <c r="S221" s="37" t="b">
        <v>0</v>
      </c>
      <c r="T221" s="35"/>
      <c r="U221" s="37">
        <v>0</v>
      </c>
      <c r="V221" s="35"/>
      <c r="W221" s="35"/>
      <c r="X221" s="35"/>
      <c r="Y221" s="35"/>
      <c r="Z221" s="38"/>
      <c r="AA221" s="36"/>
      <c r="AB221" s="39">
        <v>41481.472974537035</v>
      </c>
      <c r="AC221" s="40">
        <v>174</v>
      </c>
      <c r="AD221" s="36" t="s">
        <v>103</v>
      </c>
      <c r="AE221" s="35" t="s">
        <v>104</v>
      </c>
      <c r="AF221" s="35" t="s">
        <v>105</v>
      </c>
      <c r="AJ221" s="34">
        <v>12</v>
      </c>
      <c r="AK221" s="34">
        <v>12</v>
      </c>
      <c r="AL221" s="34" t="s">
        <v>601</v>
      </c>
    </row>
    <row r="222" spans="1:38">
      <c r="A222" s="35"/>
      <c r="B222" s="35" t="s">
        <v>431</v>
      </c>
      <c r="C222" s="36" t="s">
        <v>331</v>
      </c>
      <c r="D222" s="35"/>
      <c r="E222" s="37" t="b">
        <v>0</v>
      </c>
      <c r="F222" s="37" t="b">
        <v>1</v>
      </c>
      <c r="G222" s="37"/>
      <c r="H222" s="35" t="s">
        <v>430</v>
      </c>
      <c r="I222" s="37"/>
      <c r="J222" s="37">
        <v>480</v>
      </c>
      <c r="K222" s="36" t="s">
        <v>101</v>
      </c>
      <c r="L222" s="37"/>
      <c r="M222" s="35"/>
      <c r="N222" s="35"/>
      <c r="O222" s="36" t="s">
        <v>102</v>
      </c>
      <c r="P222" s="37" t="b">
        <v>1</v>
      </c>
      <c r="Q222" s="37">
        <v>12</v>
      </c>
      <c r="R222" s="37">
        <v>0</v>
      </c>
      <c r="S222" s="37" t="b">
        <v>0</v>
      </c>
      <c r="T222" s="35"/>
      <c r="U222" s="37">
        <v>0</v>
      </c>
      <c r="V222" s="35"/>
      <c r="W222" s="35"/>
      <c r="X222" s="35"/>
      <c r="Y222" s="35"/>
      <c r="Z222" s="38"/>
      <c r="AA222" s="36"/>
      <c r="AB222" s="39">
        <v>41481.472974537035</v>
      </c>
      <c r="AC222" s="40">
        <v>175</v>
      </c>
      <c r="AD222" s="36" t="s">
        <v>103</v>
      </c>
      <c r="AE222" s="35" t="s">
        <v>104</v>
      </c>
      <c r="AF222" s="35" t="s">
        <v>105</v>
      </c>
      <c r="AJ222" s="34">
        <v>0</v>
      </c>
      <c r="AK222" s="34">
        <v>0</v>
      </c>
      <c r="AL222" s="34" t="s">
        <v>73</v>
      </c>
    </row>
    <row r="223" spans="1:38">
      <c r="A223" s="35"/>
      <c r="B223" s="35" t="s">
        <v>432</v>
      </c>
      <c r="C223" s="36" t="s">
        <v>331</v>
      </c>
      <c r="D223" s="35"/>
      <c r="E223" s="37" t="b">
        <v>1</v>
      </c>
      <c r="F223" s="37" t="b">
        <v>0</v>
      </c>
      <c r="G223" s="37"/>
      <c r="H223" s="35" t="s">
        <v>433</v>
      </c>
      <c r="I223" s="37"/>
      <c r="J223" s="37">
        <v>480</v>
      </c>
      <c r="K223" s="36" t="s">
        <v>101</v>
      </c>
      <c r="L223" s="37"/>
      <c r="M223" s="35" t="s">
        <v>434</v>
      </c>
      <c r="N223" s="35"/>
      <c r="O223" s="36" t="s">
        <v>102</v>
      </c>
      <c r="P223" s="37" t="b">
        <v>1</v>
      </c>
      <c r="Q223" s="37">
        <v>4</v>
      </c>
      <c r="R223" s="37">
        <v>0</v>
      </c>
      <c r="S223" s="37" t="b">
        <v>0</v>
      </c>
      <c r="T223" s="35"/>
      <c r="U223" s="37">
        <v>0</v>
      </c>
      <c r="V223" s="35"/>
      <c r="W223" s="35"/>
      <c r="X223" s="35"/>
      <c r="Y223" s="35"/>
      <c r="Z223" s="38"/>
      <c r="AA223" s="36"/>
      <c r="AB223" s="39">
        <v>41481.472974537035</v>
      </c>
      <c r="AC223" s="40">
        <v>176</v>
      </c>
      <c r="AD223" s="36" t="s">
        <v>103</v>
      </c>
      <c r="AE223" s="35" t="s">
        <v>104</v>
      </c>
      <c r="AF223" s="35" t="s">
        <v>105</v>
      </c>
      <c r="AJ223" s="34">
        <v>4</v>
      </c>
      <c r="AK223" s="34">
        <v>4</v>
      </c>
      <c r="AL223" s="34" t="s">
        <v>601</v>
      </c>
    </row>
    <row r="224" spans="1:38">
      <c r="A224" s="35"/>
      <c r="B224" s="35" t="s">
        <v>435</v>
      </c>
      <c r="C224" s="36" t="s">
        <v>331</v>
      </c>
      <c r="D224" s="35"/>
      <c r="E224" s="37" t="b">
        <v>0</v>
      </c>
      <c r="F224" s="37" t="b">
        <v>1</v>
      </c>
      <c r="G224" s="37"/>
      <c r="H224" s="35" t="s">
        <v>433</v>
      </c>
      <c r="I224" s="37"/>
      <c r="J224" s="37">
        <v>480</v>
      </c>
      <c r="K224" s="36" t="s">
        <v>101</v>
      </c>
      <c r="L224" s="37"/>
      <c r="M224" s="35" t="s">
        <v>434</v>
      </c>
      <c r="N224" s="35"/>
      <c r="O224" s="36" t="s">
        <v>102</v>
      </c>
      <c r="P224" s="37" t="b">
        <v>1</v>
      </c>
      <c r="Q224" s="37">
        <v>4</v>
      </c>
      <c r="R224" s="37">
        <v>0</v>
      </c>
      <c r="S224" s="37" t="b">
        <v>0</v>
      </c>
      <c r="T224" s="35"/>
      <c r="U224" s="37">
        <v>0</v>
      </c>
      <c r="V224" s="35"/>
      <c r="W224" s="35"/>
      <c r="X224" s="35"/>
      <c r="Y224" s="35"/>
      <c r="Z224" s="38"/>
      <c r="AA224" s="36"/>
      <c r="AB224" s="39">
        <v>41481.472974537035</v>
      </c>
      <c r="AC224" s="40">
        <v>177</v>
      </c>
      <c r="AD224" s="36" t="s">
        <v>103</v>
      </c>
      <c r="AE224" s="35" t="s">
        <v>104</v>
      </c>
      <c r="AF224" s="35" t="s">
        <v>105</v>
      </c>
      <c r="AJ224" s="34">
        <v>0</v>
      </c>
      <c r="AK224" s="34">
        <v>0</v>
      </c>
      <c r="AL224" s="34" t="s">
        <v>73</v>
      </c>
    </row>
    <row r="225" spans="1:38">
      <c r="A225" s="35"/>
      <c r="B225" s="35" t="s">
        <v>436</v>
      </c>
      <c r="C225" s="36" t="s">
        <v>331</v>
      </c>
      <c r="D225" s="35"/>
      <c r="E225" s="37" t="b">
        <v>1</v>
      </c>
      <c r="F225" s="37" t="b">
        <v>0</v>
      </c>
      <c r="G225" s="37"/>
      <c r="H225" s="35" t="s">
        <v>437</v>
      </c>
      <c r="I225" s="37"/>
      <c r="J225" s="37"/>
      <c r="K225" s="36" t="s">
        <v>101</v>
      </c>
      <c r="L225" s="37"/>
      <c r="M225" s="35"/>
      <c r="N225" s="35"/>
      <c r="O225" s="36" t="s">
        <v>102</v>
      </c>
      <c r="P225" s="37" t="b">
        <v>1</v>
      </c>
      <c r="Q225" s="37">
        <v>0</v>
      </c>
      <c r="R225" s="37">
        <v>0</v>
      </c>
      <c r="S225" s="37" t="b">
        <v>0</v>
      </c>
      <c r="T225" s="35"/>
      <c r="U225" s="37">
        <v>0</v>
      </c>
      <c r="V225" s="35"/>
      <c r="W225" s="35"/>
      <c r="X225" s="35"/>
      <c r="Y225" s="35"/>
      <c r="Z225" s="38"/>
      <c r="AA225" s="36"/>
      <c r="AB225" s="39">
        <v>41481.472974537035</v>
      </c>
      <c r="AC225" s="40">
        <v>178</v>
      </c>
      <c r="AD225" s="36" t="s">
        <v>103</v>
      </c>
      <c r="AE225" s="35" t="s">
        <v>104</v>
      </c>
      <c r="AF225" s="35" t="s">
        <v>105</v>
      </c>
      <c r="AJ225" s="34">
        <v>27</v>
      </c>
      <c r="AK225" s="34">
        <v>27</v>
      </c>
      <c r="AL225" s="34" t="s">
        <v>602</v>
      </c>
    </row>
    <row r="226" spans="1:38">
      <c r="A226" s="35"/>
      <c r="B226" s="35" t="s">
        <v>438</v>
      </c>
      <c r="C226" s="36" t="s">
        <v>331</v>
      </c>
      <c r="D226" s="35"/>
      <c r="E226" s="37" t="b">
        <v>1</v>
      </c>
      <c r="F226" s="37" t="b">
        <v>0</v>
      </c>
      <c r="G226" s="37"/>
      <c r="H226" s="35" t="s">
        <v>437</v>
      </c>
      <c r="I226" s="37"/>
      <c r="J226" s="37"/>
      <c r="K226" s="36" t="s">
        <v>101</v>
      </c>
      <c r="L226" s="37"/>
      <c r="M226" s="35"/>
      <c r="N226" s="35"/>
      <c r="O226" s="36" t="s">
        <v>102</v>
      </c>
      <c r="P226" s="37" t="b">
        <v>1</v>
      </c>
      <c r="Q226" s="37">
        <v>0</v>
      </c>
      <c r="R226" s="37">
        <v>0</v>
      </c>
      <c r="S226" s="37" t="b">
        <v>0</v>
      </c>
      <c r="T226" s="35"/>
      <c r="U226" s="37">
        <v>0</v>
      </c>
      <c r="V226" s="35"/>
      <c r="W226" s="35"/>
      <c r="X226" s="35"/>
      <c r="Y226" s="35"/>
      <c r="Z226" s="38"/>
      <c r="AA226" s="36"/>
      <c r="AB226" s="39">
        <v>41481.472974537035</v>
      </c>
      <c r="AC226" s="40">
        <v>179</v>
      </c>
      <c r="AD226" s="36" t="s">
        <v>103</v>
      </c>
      <c r="AE226" s="35" t="s">
        <v>104</v>
      </c>
      <c r="AF226" s="35" t="s">
        <v>105</v>
      </c>
      <c r="AJ226" s="34">
        <v>27</v>
      </c>
      <c r="AK226" s="34">
        <v>27</v>
      </c>
      <c r="AL226" s="34" t="s">
        <v>602</v>
      </c>
    </row>
    <row r="227" spans="1:38">
      <c r="A227" s="35"/>
      <c r="B227" s="35" t="s">
        <v>439</v>
      </c>
      <c r="C227" s="36" t="s">
        <v>331</v>
      </c>
      <c r="D227" s="35"/>
      <c r="E227" s="37" t="b">
        <v>1</v>
      </c>
      <c r="F227" s="37" t="b">
        <v>0</v>
      </c>
      <c r="G227" s="37"/>
      <c r="H227" s="35" t="s">
        <v>437</v>
      </c>
      <c r="I227" s="37"/>
      <c r="J227" s="37"/>
      <c r="K227" s="36" t="s">
        <v>101</v>
      </c>
      <c r="L227" s="37"/>
      <c r="M227" s="35"/>
      <c r="N227" s="35"/>
      <c r="O227" s="36" t="s">
        <v>102</v>
      </c>
      <c r="P227" s="37" t="b">
        <v>1</v>
      </c>
      <c r="Q227" s="37">
        <v>0</v>
      </c>
      <c r="R227" s="37">
        <v>0</v>
      </c>
      <c r="S227" s="37" t="b">
        <v>0</v>
      </c>
      <c r="T227" s="35"/>
      <c r="U227" s="37">
        <v>0</v>
      </c>
      <c r="V227" s="35"/>
      <c r="W227" s="35"/>
      <c r="X227" s="35"/>
      <c r="Y227" s="35"/>
      <c r="Z227" s="38"/>
      <c r="AA227" s="36"/>
      <c r="AB227" s="39">
        <v>41481.472986111112</v>
      </c>
      <c r="AC227" s="40">
        <v>180</v>
      </c>
      <c r="AD227" s="36" t="s">
        <v>103</v>
      </c>
      <c r="AE227" s="35" t="s">
        <v>104</v>
      </c>
      <c r="AF227" s="35" t="s">
        <v>105</v>
      </c>
      <c r="AJ227" s="34">
        <v>0</v>
      </c>
      <c r="AK227" s="34">
        <v>0</v>
      </c>
      <c r="AL227" s="34" t="s">
        <v>73</v>
      </c>
    </row>
    <row r="228" spans="1:38">
      <c r="A228" s="35"/>
      <c r="B228" s="35" t="s">
        <v>440</v>
      </c>
      <c r="C228" s="36" t="s">
        <v>331</v>
      </c>
      <c r="D228" s="35"/>
      <c r="E228" s="37" t="b">
        <v>1</v>
      </c>
      <c r="F228" s="37" t="b">
        <v>0</v>
      </c>
      <c r="G228" s="37"/>
      <c r="H228" s="35"/>
      <c r="I228" s="37">
        <v>1</v>
      </c>
      <c r="J228" s="37">
        <v>480</v>
      </c>
      <c r="K228" s="36" t="s">
        <v>101</v>
      </c>
      <c r="L228" s="37"/>
      <c r="M228" s="35"/>
      <c r="N228" s="35"/>
      <c r="O228" s="36" t="s">
        <v>102</v>
      </c>
      <c r="P228" s="37" t="b">
        <v>1</v>
      </c>
      <c r="Q228" s="37">
        <v>0.745699</v>
      </c>
      <c r="R228" s="37">
        <v>0</v>
      </c>
      <c r="S228" s="37" t="b">
        <v>0</v>
      </c>
      <c r="T228" s="35"/>
      <c r="U228" s="37">
        <v>0</v>
      </c>
      <c r="V228" s="35"/>
      <c r="W228" s="35"/>
      <c r="X228" s="35"/>
      <c r="Y228" s="35"/>
      <c r="Z228" s="38"/>
      <c r="AA228" s="36"/>
      <c r="AB228" s="39">
        <v>41481.472986111112</v>
      </c>
      <c r="AC228" s="40">
        <v>181</v>
      </c>
      <c r="AD228" s="36" t="s">
        <v>103</v>
      </c>
      <c r="AE228" s="35" t="s">
        <v>104</v>
      </c>
      <c r="AF228" s="35" t="s">
        <v>105</v>
      </c>
      <c r="AJ228" s="34">
        <f>Table_owssvr_1[[#This Row],[Total Connected Load (kW)]]</f>
        <v>0.745699</v>
      </c>
      <c r="AK228" s="34">
        <f>Table_owssvr_1[[#This Row],[Total Connected Load (kW)]]</f>
        <v>0.745699</v>
      </c>
    </row>
    <row r="229" spans="1:38">
      <c r="A229" s="35" t="s">
        <v>441</v>
      </c>
      <c r="B229" s="35" t="s">
        <v>442</v>
      </c>
      <c r="C229" s="36" t="s">
        <v>331</v>
      </c>
      <c r="D229" s="35"/>
      <c r="E229" s="37" t="b">
        <v>1</v>
      </c>
      <c r="F229" s="37" t="b">
        <v>0</v>
      </c>
      <c r="G229" s="37"/>
      <c r="H229" s="35"/>
      <c r="I229" s="37">
        <v>1</v>
      </c>
      <c r="J229" s="37">
        <v>480</v>
      </c>
      <c r="K229" s="36" t="s">
        <v>101</v>
      </c>
      <c r="L229" s="37"/>
      <c r="M229" s="35"/>
      <c r="N229" s="35"/>
      <c r="O229" s="36" t="s">
        <v>102</v>
      </c>
      <c r="P229" s="37" t="b">
        <v>1</v>
      </c>
      <c r="Q229" s="37">
        <v>0.745699</v>
      </c>
      <c r="R229" s="37">
        <v>0</v>
      </c>
      <c r="S229" s="37" t="b">
        <v>0</v>
      </c>
      <c r="T229" s="35"/>
      <c r="U229" s="37">
        <v>0</v>
      </c>
      <c r="V229" s="35"/>
      <c r="W229" s="35"/>
      <c r="X229" s="35"/>
      <c r="Y229" s="35"/>
      <c r="Z229" s="38"/>
      <c r="AA229" s="36"/>
      <c r="AB229" s="39">
        <v>41481.472986111112</v>
      </c>
      <c r="AC229" s="40">
        <v>182</v>
      </c>
      <c r="AD229" s="36" t="s">
        <v>103</v>
      </c>
      <c r="AE229" s="35" t="s">
        <v>104</v>
      </c>
      <c r="AF229" s="35" t="s">
        <v>105</v>
      </c>
      <c r="AJ229" s="34">
        <f>Table_owssvr_1[[#This Row],[Total Connected Load (kW)]]</f>
        <v>0.745699</v>
      </c>
      <c r="AK229" s="34">
        <f>Table_owssvr_1[[#This Row],[Total Connected Load (kW)]]</f>
        <v>0.745699</v>
      </c>
    </row>
    <row r="230" spans="1:38">
      <c r="A230" s="35" t="s">
        <v>443</v>
      </c>
      <c r="B230" s="35" t="s">
        <v>444</v>
      </c>
      <c r="C230" s="36" t="s">
        <v>331</v>
      </c>
      <c r="D230" s="35"/>
      <c r="E230" s="37" t="b">
        <v>1</v>
      </c>
      <c r="F230" s="37" t="b">
        <v>0</v>
      </c>
      <c r="G230" s="37"/>
      <c r="H230" s="35"/>
      <c r="I230" s="37">
        <v>1</v>
      </c>
      <c r="J230" s="37">
        <v>480</v>
      </c>
      <c r="K230" s="36" t="s">
        <v>101</v>
      </c>
      <c r="L230" s="37"/>
      <c r="M230" s="35"/>
      <c r="N230" s="35"/>
      <c r="O230" s="36" t="s">
        <v>102</v>
      </c>
      <c r="P230" s="37" t="b">
        <v>1</v>
      </c>
      <c r="Q230" s="37">
        <v>0.745699</v>
      </c>
      <c r="R230" s="37">
        <v>0</v>
      </c>
      <c r="S230" s="37" t="b">
        <v>0</v>
      </c>
      <c r="T230" s="35"/>
      <c r="U230" s="37">
        <v>0</v>
      </c>
      <c r="V230" s="35"/>
      <c r="W230" s="35"/>
      <c r="X230" s="35"/>
      <c r="Y230" s="35"/>
      <c r="Z230" s="38"/>
      <c r="AA230" s="36"/>
      <c r="AB230" s="39">
        <v>41481.472986111112</v>
      </c>
      <c r="AC230" s="40">
        <v>183</v>
      </c>
      <c r="AD230" s="36" t="s">
        <v>103</v>
      </c>
      <c r="AE230" s="35" t="s">
        <v>104</v>
      </c>
      <c r="AF230" s="35" t="s">
        <v>105</v>
      </c>
      <c r="AJ230" s="34">
        <f>Table_owssvr_1[[#This Row],[Total Connected Load (kW)]]</f>
        <v>0.745699</v>
      </c>
      <c r="AK230" s="34">
        <f>Table_owssvr_1[[#This Row],[Total Connected Load (kW)]]</f>
        <v>0.745699</v>
      </c>
    </row>
    <row r="231" spans="1:38">
      <c r="A231" s="35"/>
      <c r="B231" s="35" t="s">
        <v>445</v>
      </c>
      <c r="C231" s="36" t="s">
        <v>331</v>
      </c>
      <c r="D231" s="35"/>
      <c r="E231" s="37" t="b">
        <v>1</v>
      </c>
      <c r="F231" s="37" t="b">
        <v>0</v>
      </c>
      <c r="G231" s="37"/>
      <c r="H231" s="35"/>
      <c r="I231" s="37">
        <v>1</v>
      </c>
      <c r="J231" s="37">
        <v>208</v>
      </c>
      <c r="K231" s="36" t="s">
        <v>138</v>
      </c>
      <c r="L231" s="37">
        <v>0.7</v>
      </c>
      <c r="M231" s="35"/>
      <c r="N231" s="35"/>
      <c r="O231" s="36" t="s">
        <v>110</v>
      </c>
      <c r="P231" s="37" t="b">
        <v>0</v>
      </c>
      <c r="Q231" s="37">
        <v>0.745699</v>
      </c>
      <c r="R231" s="37">
        <v>0.52198929999999999</v>
      </c>
      <c r="S231" s="37" t="b">
        <v>0</v>
      </c>
      <c r="T231" s="35"/>
      <c r="U231" s="37">
        <v>0</v>
      </c>
      <c r="V231" s="35"/>
      <c r="W231" s="35"/>
      <c r="X231" s="35"/>
      <c r="Y231" s="35"/>
      <c r="Z231" s="38"/>
      <c r="AA231" s="36"/>
      <c r="AB231" s="39">
        <v>41481.472986111112</v>
      </c>
      <c r="AC231" s="40">
        <v>201</v>
      </c>
      <c r="AD231" s="36" t="s">
        <v>103</v>
      </c>
      <c r="AE231" s="35" t="s">
        <v>104</v>
      </c>
      <c r="AF231" s="35" t="s">
        <v>105</v>
      </c>
      <c r="AJ231" s="34">
        <f>Table_owssvr_1[[#This Row],[Total Expected Load (kW)]]</f>
        <v>0.52198929999999999</v>
      </c>
      <c r="AK231" s="34">
        <f>Table_owssvr_1[[#This Row],[Total Expected Load (kW)]]</f>
        <v>0.52198929999999999</v>
      </c>
    </row>
    <row r="232" spans="1:38">
      <c r="A232" s="35"/>
      <c r="B232" s="35" t="s">
        <v>446</v>
      </c>
      <c r="C232" s="36" t="s">
        <v>331</v>
      </c>
      <c r="D232" s="35"/>
      <c r="E232" s="37" t="b">
        <v>1</v>
      </c>
      <c r="F232" s="37" t="b">
        <v>0</v>
      </c>
      <c r="G232" s="37"/>
      <c r="H232" s="35"/>
      <c r="I232" s="37">
        <v>1</v>
      </c>
      <c r="J232" s="37">
        <v>208</v>
      </c>
      <c r="K232" s="36" t="s">
        <v>138</v>
      </c>
      <c r="L232" s="37">
        <v>0.7</v>
      </c>
      <c r="M232" s="35"/>
      <c r="N232" s="35"/>
      <c r="O232" s="36" t="s">
        <v>110</v>
      </c>
      <c r="P232" s="37" t="b">
        <v>0</v>
      </c>
      <c r="Q232" s="37">
        <v>0.745699</v>
      </c>
      <c r="R232" s="37">
        <v>0.52198929999999999</v>
      </c>
      <c r="S232" s="37" t="b">
        <v>0</v>
      </c>
      <c r="T232" s="35"/>
      <c r="U232" s="37">
        <v>0</v>
      </c>
      <c r="V232" s="35"/>
      <c r="W232" s="35"/>
      <c r="X232" s="35"/>
      <c r="Y232" s="35"/>
      <c r="Z232" s="38"/>
      <c r="AA232" s="36"/>
      <c r="AB232" s="39">
        <v>41481.472986111112</v>
      </c>
      <c r="AC232" s="40">
        <v>202</v>
      </c>
      <c r="AD232" s="36" t="s">
        <v>103</v>
      </c>
      <c r="AE232" s="35" t="s">
        <v>104</v>
      </c>
      <c r="AF232" s="35" t="s">
        <v>105</v>
      </c>
      <c r="AJ232" s="34">
        <f>Table_owssvr_1[[#This Row],[Total Expected Load (kW)]]</f>
        <v>0.52198929999999999</v>
      </c>
      <c r="AK232" s="34">
        <f>Table_owssvr_1[[#This Row],[Total Expected Load (kW)]]</f>
        <v>0.52198929999999999</v>
      </c>
    </row>
    <row r="233" spans="1:38">
      <c r="A233" s="35"/>
      <c r="B233" s="35" t="s">
        <v>447</v>
      </c>
      <c r="C233" s="36" t="s">
        <v>331</v>
      </c>
      <c r="D233" s="35"/>
      <c r="E233" s="37" t="b">
        <v>1</v>
      </c>
      <c r="F233" s="37" t="b">
        <v>0</v>
      </c>
      <c r="G233" s="37"/>
      <c r="H233" s="35"/>
      <c r="I233" s="37">
        <v>1</v>
      </c>
      <c r="J233" s="37">
        <v>208</v>
      </c>
      <c r="K233" s="36" t="s">
        <v>138</v>
      </c>
      <c r="L233" s="37">
        <v>0.7</v>
      </c>
      <c r="M233" s="35"/>
      <c r="N233" s="35"/>
      <c r="O233" s="36" t="s">
        <v>110</v>
      </c>
      <c r="P233" s="37" t="b">
        <v>0</v>
      </c>
      <c r="Q233" s="37">
        <v>0.745699</v>
      </c>
      <c r="R233" s="37">
        <v>0.52198929999999999</v>
      </c>
      <c r="S233" s="37" t="b">
        <v>0</v>
      </c>
      <c r="T233" s="35"/>
      <c r="U233" s="37">
        <v>0</v>
      </c>
      <c r="V233" s="35"/>
      <c r="W233" s="35"/>
      <c r="X233" s="35"/>
      <c r="Y233" s="35"/>
      <c r="Z233" s="38"/>
      <c r="AA233" s="36"/>
      <c r="AB233" s="39">
        <v>41481.472986111112</v>
      </c>
      <c r="AC233" s="40">
        <v>203</v>
      </c>
      <c r="AD233" s="36" t="s">
        <v>103</v>
      </c>
      <c r="AE233" s="35" t="s">
        <v>104</v>
      </c>
      <c r="AF233" s="35" t="s">
        <v>105</v>
      </c>
      <c r="AJ233" s="34">
        <f>Table_owssvr_1[[#This Row],[Total Expected Load (kW)]]</f>
        <v>0.52198929999999999</v>
      </c>
      <c r="AK233" s="34">
        <f>Table_owssvr_1[[#This Row],[Total Expected Load (kW)]]</f>
        <v>0.52198929999999999</v>
      </c>
    </row>
    <row r="234" spans="1:38">
      <c r="A234" s="35"/>
      <c r="B234" s="35" t="s">
        <v>448</v>
      </c>
      <c r="C234" s="36" t="s">
        <v>331</v>
      </c>
      <c r="D234" s="35"/>
      <c r="E234" s="37" t="b">
        <v>1</v>
      </c>
      <c r="F234" s="37" t="b">
        <v>0</v>
      </c>
      <c r="G234" s="37"/>
      <c r="H234" s="35"/>
      <c r="I234" s="37">
        <v>1</v>
      </c>
      <c r="J234" s="37">
        <v>208</v>
      </c>
      <c r="K234" s="36" t="s">
        <v>138</v>
      </c>
      <c r="L234" s="37">
        <v>0.7</v>
      </c>
      <c r="M234" s="35"/>
      <c r="N234" s="35"/>
      <c r="O234" s="36" t="s">
        <v>110</v>
      </c>
      <c r="P234" s="37" t="b">
        <v>0</v>
      </c>
      <c r="Q234" s="37">
        <v>0.745699</v>
      </c>
      <c r="R234" s="37">
        <v>0.52198929999999999</v>
      </c>
      <c r="S234" s="37" t="b">
        <v>0</v>
      </c>
      <c r="T234" s="35"/>
      <c r="U234" s="37">
        <v>0</v>
      </c>
      <c r="V234" s="35"/>
      <c r="W234" s="35"/>
      <c r="X234" s="35"/>
      <c r="Y234" s="35"/>
      <c r="Z234" s="38"/>
      <c r="AA234" s="36"/>
      <c r="AB234" s="39">
        <v>41481.472986111112</v>
      </c>
      <c r="AC234" s="40">
        <v>204</v>
      </c>
      <c r="AD234" s="36" t="s">
        <v>103</v>
      </c>
      <c r="AE234" s="35" t="s">
        <v>104</v>
      </c>
      <c r="AF234" s="35" t="s">
        <v>105</v>
      </c>
      <c r="AJ234" s="34">
        <f>Table_owssvr_1[[#This Row],[Total Expected Load (kW)]]</f>
        <v>0.52198929999999999</v>
      </c>
      <c r="AK234" s="34">
        <f>Table_owssvr_1[[#This Row],[Total Expected Load (kW)]]</f>
        <v>0.52198929999999999</v>
      </c>
    </row>
    <row r="235" spans="1:38">
      <c r="A235" s="35"/>
      <c r="B235" s="35" t="s">
        <v>449</v>
      </c>
      <c r="C235" s="36" t="s">
        <v>331</v>
      </c>
      <c r="D235" s="35"/>
      <c r="E235" s="37" t="b">
        <v>1</v>
      </c>
      <c r="F235" s="37" t="b">
        <v>0</v>
      </c>
      <c r="G235" s="37"/>
      <c r="H235" s="35"/>
      <c r="I235" s="37">
        <v>1</v>
      </c>
      <c r="J235" s="37">
        <v>208</v>
      </c>
      <c r="K235" s="36" t="s">
        <v>138</v>
      </c>
      <c r="L235" s="37">
        <v>0.7</v>
      </c>
      <c r="M235" s="35"/>
      <c r="N235" s="35"/>
      <c r="O235" s="36" t="s">
        <v>110</v>
      </c>
      <c r="P235" s="37" t="b">
        <v>0</v>
      </c>
      <c r="Q235" s="37">
        <v>0.745699</v>
      </c>
      <c r="R235" s="37">
        <v>0.52198929999999999</v>
      </c>
      <c r="S235" s="37" t="b">
        <v>0</v>
      </c>
      <c r="T235" s="35"/>
      <c r="U235" s="37">
        <v>0</v>
      </c>
      <c r="V235" s="35"/>
      <c r="W235" s="35"/>
      <c r="X235" s="35"/>
      <c r="Y235" s="35"/>
      <c r="Z235" s="38"/>
      <c r="AA235" s="36"/>
      <c r="AB235" s="39">
        <v>41481.472986111112</v>
      </c>
      <c r="AC235" s="40">
        <v>205</v>
      </c>
      <c r="AD235" s="36" t="s">
        <v>103</v>
      </c>
      <c r="AE235" s="35" t="s">
        <v>104</v>
      </c>
      <c r="AF235" s="35" t="s">
        <v>105</v>
      </c>
      <c r="AJ235" s="34">
        <f>Table_owssvr_1[[#This Row],[Total Expected Load (kW)]]</f>
        <v>0.52198929999999999</v>
      </c>
      <c r="AK235" s="34">
        <f>Table_owssvr_1[[#This Row],[Total Expected Load (kW)]]</f>
        <v>0.52198929999999999</v>
      </c>
    </row>
    <row r="236" spans="1:38">
      <c r="A236" s="35"/>
      <c r="B236" s="35" t="s">
        <v>450</v>
      </c>
      <c r="C236" s="36" t="s">
        <v>331</v>
      </c>
      <c r="D236" s="35"/>
      <c r="E236" s="37" t="b">
        <v>1</v>
      </c>
      <c r="F236" s="37" t="b">
        <v>0</v>
      </c>
      <c r="G236" s="37"/>
      <c r="H236" s="35"/>
      <c r="I236" s="37">
        <v>2</v>
      </c>
      <c r="J236" s="37">
        <v>208</v>
      </c>
      <c r="K236" s="36" t="s">
        <v>138</v>
      </c>
      <c r="L236" s="37">
        <v>1.4</v>
      </c>
      <c r="M236" s="35"/>
      <c r="N236" s="35"/>
      <c r="O236" s="36" t="s">
        <v>110</v>
      </c>
      <c r="P236" s="37" t="b">
        <v>0</v>
      </c>
      <c r="Q236" s="37">
        <v>1.491398</v>
      </c>
      <c r="R236" s="37">
        <v>1.0439786</v>
      </c>
      <c r="S236" s="37" t="b">
        <v>0</v>
      </c>
      <c r="T236" s="35"/>
      <c r="U236" s="37">
        <v>0</v>
      </c>
      <c r="V236" s="35"/>
      <c r="W236" s="35"/>
      <c r="X236" s="35"/>
      <c r="Y236" s="35"/>
      <c r="Z236" s="38"/>
      <c r="AA236" s="36"/>
      <c r="AB236" s="39">
        <v>41481.472986111112</v>
      </c>
      <c r="AC236" s="40">
        <v>206</v>
      </c>
      <c r="AD236" s="36" t="s">
        <v>103</v>
      </c>
      <c r="AE236" s="35" t="s">
        <v>104</v>
      </c>
      <c r="AF236" s="35" t="s">
        <v>105</v>
      </c>
      <c r="AJ236" s="34">
        <f>Table_owssvr_1[[#This Row],[Total Expected Load (kW)]]</f>
        <v>1.0439786</v>
      </c>
      <c r="AK236" s="34">
        <f>Table_owssvr_1[[#This Row],[Total Expected Load (kW)]]</f>
        <v>1.0439786</v>
      </c>
    </row>
    <row r="237" spans="1:38">
      <c r="A237" s="35"/>
      <c r="B237" s="35" t="s">
        <v>451</v>
      </c>
      <c r="C237" s="36" t="s">
        <v>331</v>
      </c>
      <c r="D237" s="35"/>
      <c r="E237" s="37" t="b">
        <v>1</v>
      </c>
      <c r="F237" s="37" t="b">
        <v>0</v>
      </c>
      <c r="G237" s="37"/>
      <c r="H237" s="35"/>
      <c r="I237" s="37">
        <v>7.5</v>
      </c>
      <c r="J237" s="37">
        <v>480</v>
      </c>
      <c r="K237" s="36" t="s">
        <v>138</v>
      </c>
      <c r="L237" s="37">
        <v>4.7</v>
      </c>
      <c r="M237" s="35"/>
      <c r="N237" s="35"/>
      <c r="O237" s="36" t="s">
        <v>110</v>
      </c>
      <c r="P237" s="37" t="b">
        <v>0</v>
      </c>
      <c r="Q237" s="37">
        <v>5.5927424999999999</v>
      </c>
      <c r="R237" s="37">
        <v>3.5047853</v>
      </c>
      <c r="S237" s="37" t="b">
        <v>0</v>
      </c>
      <c r="T237" s="35"/>
      <c r="U237" s="37">
        <v>0</v>
      </c>
      <c r="V237" s="35"/>
      <c r="W237" s="35"/>
      <c r="X237" s="35"/>
      <c r="Y237" s="35"/>
      <c r="Z237" s="38"/>
      <c r="AA237" s="36"/>
      <c r="AB237" s="39">
        <v>41481.472986111112</v>
      </c>
      <c r="AC237" s="40">
        <v>207</v>
      </c>
      <c r="AD237" s="36" t="s">
        <v>103</v>
      </c>
      <c r="AE237" s="35" t="s">
        <v>104</v>
      </c>
      <c r="AF237" s="35" t="s">
        <v>105</v>
      </c>
      <c r="AJ237" s="34">
        <f>Table_owssvr_1[[#This Row],[Total Expected Load (kW)]]</f>
        <v>3.5047853</v>
      </c>
      <c r="AK237" s="34">
        <f>Table_owssvr_1[[#This Row],[Total Expected Load (kW)]]</f>
        <v>3.5047853</v>
      </c>
    </row>
    <row r="238" spans="1:38">
      <c r="A238" s="35"/>
      <c r="B238" s="35" t="s">
        <v>452</v>
      </c>
      <c r="C238" s="36" t="s">
        <v>331</v>
      </c>
      <c r="D238" s="35"/>
      <c r="E238" s="37" t="b">
        <v>1</v>
      </c>
      <c r="F238" s="37" t="b">
        <v>0</v>
      </c>
      <c r="G238" s="37"/>
      <c r="H238" s="35"/>
      <c r="I238" s="37">
        <v>2</v>
      </c>
      <c r="J238" s="37">
        <v>208</v>
      </c>
      <c r="K238" s="36" t="s">
        <v>138</v>
      </c>
      <c r="L238" s="37">
        <v>1.8</v>
      </c>
      <c r="M238" s="35"/>
      <c r="N238" s="35"/>
      <c r="O238" s="36" t="s">
        <v>110</v>
      </c>
      <c r="P238" s="37" t="b">
        <v>0</v>
      </c>
      <c r="Q238" s="37">
        <v>1.491398</v>
      </c>
      <c r="R238" s="37">
        <v>1.3422582000000001</v>
      </c>
      <c r="S238" s="37" t="b">
        <v>0</v>
      </c>
      <c r="T238" s="35"/>
      <c r="U238" s="37">
        <v>0</v>
      </c>
      <c r="V238" s="35"/>
      <c r="W238" s="35"/>
      <c r="X238" s="35"/>
      <c r="Y238" s="35"/>
      <c r="Z238" s="38"/>
      <c r="AA238" s="36"/>
      <c r="AB238" s="39">
        <v>41481.472986111112</v>
      </c>
      <c r="AC238" s="40">
        <v>209</v>
      </c>
      <c r="AD238" s="36" t="s">
        <v>103</v>
      </c>
      <c r="AE238" s="35" t="s">
        <v>104</v>
      </c>
      <c r="AF238" s="35" t="s">
        <v>105</v>
      </c>
      <c r="AJ238" s="34">
        <f>Table_owssvr_1[[#This Row],[Total Expected Load (kW)]]</f>
        <v>1.3422582000000001</v>
      </c>
      <c r="AK238" s="34">
        <f>Table_owssvr_1[[#This Row],[Total Expected Load (kW)]]</f>
        <v>1.3422582000000001</v>
      </c>
    </row>
    <row r="239" spans="1:38">
      <c r="A239" s="35"/>
      <c r="B239" s="35" t="s">
        <v>453</v>
      </c>
      <c r="C239" s="36" t="s">
        <v>331</v>
      </c>
      <c r="D239" s="35"/>
      <c r="E239" s="37" t="b">
        <v>1</v>
      </c>
      <c r="F239" s="37" t="b">
        <v>0</v>
      </c>
      <c r="G239" s="37"/>
      <c r="H239" s="35"/>
      <c r="I239" s="37">
        <v>1</v>
      </c>
      <c r="J239" s="37">
        <v>480</v>
      </c>
      <c r="K239" s="36" t="s">
        <v>138</v>
      </c>
      <c r="L239" s="37">
        <v>0.5</v>
      </c>
      <c r="M239" s="35"/>
      <c r="N239" s="35"/>
      <c r="O239" s="36" t="s">
        <v>110</v>
      </c>
      <c r="P239" s="37" t="b">
        <v>0</v>
      </c>
      <c r="Q239" s="37">
        <v>0.745699</v>
      </c>
      <c r="R239" s="37">
        <v>0.3728495</v>
      </c>
      <c r="S239" s="37" t="b">
        <v>0</v>
      </c>
      <c r="T239" s="35"/>
      <c r="U239" s="37">
        <v>0</v>
      </c>
      <c r="V239" s="35"/>
      <c r="W239" s="35"/>
      <c r="X239" s="35"/>
      <c r="Y239" s="35"/>
      <c r="Z239" s="38"/>
      <c r="AA239" s="36"/>
      <c r="AB239" s="39">
        <v>41481.472986111112</v>
      </c>
      <c r="AC239" s="40">
        <v>229</v>
      </c>
      <c r="AD239" s="36" t="s">
        <v>103</v>
      </c>
      <c r="AE239" s="35" t="s">
        <v>104</v>
      </c>
      <c r="AF239" s="35" t="s">
        <v>105</v>
      </c>
      <c r="AJ239" s="34">
        <f>Table_owssvr_1[[#This Row],[Total Expected Load (kW)]]</f>
        <v>0.3728495</v>
      </c>
      <c r="AK239" s="34">
        <f>Table_owssvr_1[[#This Row],[Total Expected Load (kW)]]</f>
        <v>0.3728495</v>
      </c>
    </row>
    <row r="240" spans="1:38">
      <c r="A240" s="35"/>
      <c r="B240" s="35" t="s">
        <v>454</v>
      </c>
      <c r="C240" s="36" t="s">
        <v>331</v>
      </c>
      <c r="D240" s="35"/>
      <c r="E240" s="37" t="b">
        <v>1</v>
      </c>
      <c r="F240" s="37" t="b">
        <v>0</v>
      </c>
      <c r="G240" s="37"/>
      <c r="H240" s="35"/>
      <c r="I240" s="37">
        <v>1</v>
      </c>
      <c r="J240" s="37">
        <v>480</v>
      </c>
      <c r="K240" s="36" t="s">
        <v>138</v>
      </c>
      <c r="L240" s="37">
        <v>0.5</v>
      </c>
      <c r="M240" s="35"/>
      <c r="N240" s="35"/>
      <c r="O240" s="36" t="s">
        <v>110</v>
      </c>
      <c r="P240" s="37" t="b">
        <v>0</v>
      </c>
      <c r="Q240" s="37">
        <v>0.745699</v>
      </c>
      <c r="R240" s="37">
        <v>0.3728495</v>
      </c>
      <c r="S240" s="37" t="b">
        <v>0</v>
      </c>
      <c r="T240" s="35"/>
      <c r="U240" s="37">
        <v>0</v>
      </c>
      <c r="V240" s="35"/>
      <c r="W240" s="35"/>
      <c r="X240" s="35"/>
      <c r="Y240" s="35"/>
      <c r="Z240" s="38"/>
      <c r="AA240" s="36"/>
      <c r="AB240" s="39">
        <v>41481.472986111112</v>
      </c>
      <c r="AC240" s="40">
        <v>230</v>
      </c>
      <c r="AD240" s="36" t="s">
        <v>103</v>
      </c>
      <c r="AE240" s="35" t="s">
        <v>104</v>
      </c>
      <c r="AF240" s="35" t="s">
        <v>105</v>
      </c>
      <c r="AJ240" s="34">
        <f>Table_owssvr_1[[#This Row],[Total Expected Load (kW)]]</f>
        <v>0.3728495</v>
      </c>
      <c r="AK240" s="34">
        <f>Table_owssvr_1[[#This Row],[Total Expected Load (kW)]]</f>
        <v>0.3728495</v>
      </c>
    </row>
    <row r="241" spans="1:38">
      <c r="A241" s="35"/>
      <c r="B241" s="35" t="s">
        <v>455</v>
      </c>
      <c r="C241" s="36" t="s">
        <v>331</v>
      </c>
      <c r="D241" s="35"/>
      <c r="E241" s="37" t="b">
        <v>1</v>
      </c>
      <c r="F241" s="37" t="b">
        <v>0</v>
      </c>
      <c r="G241" s="37"/>
      <c r="H241" s="35"/>
      <c r="I241" s="37">
        <v>1</v>
      </c>
      <c r="J241" s="37">
        <v>480</v>
      </c>
      <c r="K241" s="36" t="s">
        <v>138</v>
      </c>
      <c r="L241" s="37">
        <v>0.5</v>
      </c>
      <c r="M241" s="35"/>
      <c r="N241" s="35"/>
      <c r="O241" s="36" t="s">
        <v>110</v>
      </c>
      <c r="P241" s="37" t="b">
        <v>0</v>
      </c>
      <c r="Q241" s="37">
        <v>0.745699</v>
      </c>
      <c r="R241" s="37">
        <v>0.3728495</v>
      </c>
      <c r="S241" s="37" t="b">
        <v>0</v>
      </c>
      <c r="T241" s="35"/>
      <c r="U241" s="37">
        <v>0</v>
      </c>
      <c r="V241" s="35"/>
      <c r="W241" s="35"/>
      <c r="X241" s="35"/>
      <c r="Y241" s="35"/>
      <c r="Z241" s="38"/>
      <c r="AA241" s="36"/>
      <c r="AB241" s="39">
        <v>41481.472986111112</v>
      </c>
      <c r="AC241" s="40">
        <v>231</v>
      </c>
      <c r="AD241" s="36" t="s">
        <v>103</v>
      </c>
      <c r="AE241" s="35" t="s">
        <v>104</v>
      </c>
      <c r="AF241" s="35" t="s">
        <v>105</v>
      </c>
      <c r="AJ241" s="34">
        <f>Table_owssvr_1[[#This Row],[Total Expected Load (kW)]]</f>
        <v>0.3728495</v>
      </c>
      <c r="AK241" s="34">
        <f>Table_owssvr_1[[#This Row],[Total Expected Load (kW)]]</f>
        <v>0.3728495</v>
      </c>
    </row>
    <row r="242" spans="1:38">
      <c r="A242" s="35"/>
      <c r="B242" s="35" t="s">
        <v>456</v>
      </c>
      <c r="C242" s="36" t="s">
        <v>331</v>
      </c>
      <c r="D242" s="35"/>
      <c r="E242" s="37" t="b">
        <v>1</v>
      </c>
      <c r="F242" s="37" t="b">
        <v>0</v>
      </c>
      <c r="G242" s="37"/>
      <c r="H242" s="35"/>
      <c r="I242" s="37">
        <v>1</v>
      </c>
      <c r="J242" s="37">
        <v>480</v>
      </c>
      <c r="K242" s="36" t="s">
        <v>138</v>
      </c>
      <c r="L242" s="37">
        <v>0.5</v>
      </c>
      <c r="M242" s="35"/>
      <c r="N242" s="35"/>
      <c r="O242" s="36" t="s">
        <v>110</v>
      </c>
      <c r="P242" s="37" t="b">
        <v>0</v>
      </c>
      <c r="Q242" s="37">
        <v>0.745699</v>
      </c>
      <c r="R242" s="37">
        <v>0.3728495</v>
      </c>
      <c r="S242" s="37" t="b">
        <v>0</v>
      </c>
      <c r="T242" s="35"/>
      <c r="U242" s="37">
        <v>0</v>
      </c>
      <c r="V242" s="35"/>
      <c r="W242" s="35"/>
      <c r="X242" s="35"/>
      <c r="Y242" s="35"/>
      <c r="Z242" s="38"/>
      <c r="AA242" s="36"/>
      <c r="AB242" s="39">
        <v>41481.472997685189</v>
      </c>
      <c r="AC242" s="40">
        <v>232</v>
      </c>
      <c r="AD242" s="36" t="s">
        <v>103</v>
      </c>
      <c r="AE242" s="35" t="s">
        <v>104</v>
      </c>
      <c r="AF242" s="35" t="s">
        <v>105</v>
      </c>
      <c r="AJ242" s="34">
        <f>Table_owssvr_1[[#This Row],[Total Expected Load (kW)]]</f>
        <v>0.3728495</v>
      </c>
      <c r="AK242" s="34">
        <f>Table_owssvr_1[[#This Row],[Total Expected Load (kW)]]</f>
        <v>0.3728495</v>
      </c>
    </row>
    <row r="243" spans="1:38">
      <c r="A243" s="35"/>
      <c r="B243" s="35" t="s">
        <v>457</v>
      </c>
      <c r="C243" s="36" t="s">
        <v>331</v>
      </c>
      <c r="D243" s="35"/>
      <c r="E243" s="37" t="b">
        <v>1</v>
      </c>
      <c r="F243" s="37" t="b">
        <v>0</v>
      </c>
      <c r="G243" s="37"/>
      <c r="H243" s="35"/>
      <c r="I243" s="37">
        <v>1</v>
      </c>
      <c r="J243" s="37">
        <v>480</v>
      </c>
      <c r="K243" s="36" t="s">
        <v>138</v>
      </c>
      <c r="L243" s="37">
        <v>0.5</v>
      </c>
      <c r="M243" s="35"/>
      <c r="N243" s="35"/>
      <c r="O243" s="36" t="s">
        <v>110</v>
      </c>
      <c r="P243" s="37" t="b">
        <v>0</v>
      </c>
      <c r="Q243" s="37">
        <v>0.745699</v>
      </c>
      <c r="R243" s="37">
        <v>0.3728495</v>
      </c>
      <c r="S243" s="37" t="b">
        <v>0</v>
      </c>
      <c r="T243" s="35"/>
      <c r="U243" s="37">
        <v>0</v>
      </c>
      <c r="V243" s="35"/>
      <c r="W243" s="35"/>
      <c r="X243" s="35"/>
      <c r="Y243" s="35"/>
      <c r="Z243" s="38"/>
      <c r="AA243" s="36"/>
      <c r="AB243" s="39">
        <v>41481.472997685189</v>
      </c>
      <c r="AC243" s="40">
        <v>233</v>
      </c>
      <c r="AD243" s="36" t="s">
        <v>103</v>
      </c>
      <c r="AE243" s="35" t="s">
        <v>104</v>
      </c>
      <c r="AF243" s="35" t="s">
        <v>105</v>
      </c>
      <c r="AJ243" s="34">
        <f>Table_owssvr_1[[#This Row],[Total Expected Load (kW)]]</f>
        <v>0.3728495</v>
      </c>
      <c r="AK243" s="34">
        <f>Table_owssvr_1[[#This Row],[Total Expected Load (kW)]]</f>
        <v>0.3728495</v>
      </c>
    </row>
    <row r="244" spans="1:38">
      <c r="A244" s="35"/>
      <c r="B244" s="35" t="s">
        <v>458</v>
      </c>
      <c r="C244" s="36" t="s">
        <v>331</v>
      </c>
      <c r="D244" s="35"/>
      <c r="E244" s="37" t="b">
        <v>1</v>
      </c>
      <c r="F244" s="37" t="b">
        <v>0</v>
      </c>
      <c r="G244" s="37"/>
      <c r="H244" s="35"/>
      <c r="I244" s="37">
        <v>2</v>
      </c>
      <c r="J244" s="37">
        <v>480</v>
      </c>
      <c r="K244" s="36" t="s">
        <v>138</v>
      </c>
      <c r="L244" s="37">
        <v>0.9</v>
      </c>
      <c r="M244" s="35"/>
      <c r="N244" s="35"/>
      <c r="O244" s="36" t="s">
        <v>110</v>
      </c>
      <c r="P244" s="37" t="b">
        <v>0</v>
      </c>
      <c r="Q244" s="37">
        <v>1.491398</v>
      </c>
      <c r="R244" s="37">
        <v>0.67112910000000003</v>
      </c>
      <c r="S244" s="37" t="b">
        <v>0</v>
      </c>
      <c r="T244" s="35"/>
      <c r="U244" s="37">
        <v>0</v>
      </c>
      <c r="V244" s="35"/>
      <c r="W244" s="35"/>
      <c r="X244" s="35"/>
      <c r="Y244" s="35"/>
      <c r="Z244" s="38"/>
      <c r="AA244" s="36"/>
      <c r="AB244" s="39">
        <v>41481.472997685189</v>
      </c>
      <c r="AC244" s="40">
        <v>234</v>
      </c>
      <c r="AD244" s="36" t="s">
        <v>103</v>
      </c>
      <c r="AE244" s="35" t="s">
        <v>104</v>
      </c>
      <c r="AF244" s="35" t="s">
        <v>105</v>
      </c>
      <c r="AJ244" s="34">
        <f>Table_owssvr_1[[#This Row],[Total Expected Load (kW)]]</f>
        <v>0.67112910000000003</v>
      </c>
      <c r="AK244" s="34">
        <f>Table_owssvr_1[[#This Row],[Total Expected Load (kW)]]</f>
        <v>0.67112910000000003</v>
      </c>
    </row>
    <row r="245" spans="1:38">
      <c r="A245" s="35"/>
      <c r="B245" s="35" t="s">
        <v>459</v>
      </c>
      <c r="C245" s="36" t="s">
        <v>331</v>
      </c>
      <c r="D245" s="35"/>
      <c r="E245" s="37" t="b">
        <v>1</v>
      </c>
      <c r="F245" s="37" t="b">
        <v>0</v>
      </c>
      <c r="G245" s="37"/>
      <c r="H245" s="35"/>
      <c r="I245" s="37">
        <v>5</v>
      </c>
      <c r="J245" s="37">
        <v>480</v>
      </c>
      <c r="K245" s="36" t="s">
        <v>138</v>
      </c>
      <c r="L245" s="37">
        <v>2.9</v>
      </c>
      <c r="M245" s="35"/>
      <c r="N245" s="35"/>
      <c r="O245" s="36" t="s">
        <v>110</v>
      </c>
      <c r="P245" s="37" t="b">
        <v>0</v>
      </c>
      <c r="Q245" s="37">
        <v>3.7284950000000001</v>
      </c>
      <c r="R245" s="37">
        <v>2.1625271000000001</v>
      </c>
      <c r="S245" s="37" t="b">
        <v>0</v>
      </c>
      <c r="T245" s="35"/>
      <c r="U245" s="37">
        <v>0</v>
      </c>
      <c r="V245" s="35"/>
      <c r="W245" s="35"/>
      <c r="X245" s="35"/>
      <c r="Y245" s="35"/>
      <c r="Z245" s="38"/>
      <c r="AA245" s="36"/>
      <c r="AB245" s="39">
        <v>41481.472997685189</v>
      </c>
      <c r="AC245" s="40">
        <v>235</v>
      </c>
      <c r="AD245" s="36" t="s">
        <v>103</v>
      </c>
      <c r="AE245" s="35" t="s">
        <v>104</v>
      </c>
      <c r="AF245" s="35" t="s">
        <v>105</v>
      </c>
      <c r="AJ245" s="34">
        <f>Table_owssvr_1[[#This Row],[Total Expected Load (kW)]]</f>
        <v>2.1625271000000001</v>
      </c>
      <c r="AK245" s="34">
        <f>Table_owssvr_1[[#This Row],[Total Expected Load (kW)]]</f>
        <v>2.1625271000000001</v>
      </c>
    </row>
    <row r="246" spans="1:38">
      <c r="A246" s="35"/>
      <c r="B246" s="35" t="s">
        <v>460</v>
      </c>
      <c r="C246" s="36" t="s">
        <v>331</v>
      </c>
      <c r="D246" s="35"/>
      <c r="E246" s="37" t="b">
        <v>1</v>
      </c>
      <c r="F246" s="37" t="b">
        <v>0</v>
      </c>
      <c r="G246" s="37"/>
      <c r="H246" s="35"/>
      <c r="I246" s="37">
        <v>0.1</v>
      </c>
      <c r="J246" s="37">
        <v>120</v>
      </c>
      <c r="K246" s="36" t="s">
        <v>101</v>
      </c>
      <c r="L246" s="37">
        <v>0</v>
      </c>
      <c r="M246" s="35"/>
      <c r="N246" s="35"/>
      <c r="O246" s="36" t="s">
        <v>110</v>
      </c>
      <c r="P246" s="37" t="b">
        <v>0</v>
      </c>
      <c r="Q246" s="37">
        <v>7.4569899999999995E-2</v>
      </c>
      <c r="R246" s="37">
        <v>0</v>
      </c>
      <c r="S246" s="37" t="b">
        <v>0</v>
      </c>
      <c r="T246" s="35"/>
      <c r="U246" s="37">
        <v>0</v>
      </c>
      <c r="V246" s="35"/>
      <c r="W246" s="35"/>
      <c r="X246" s="35"/>
      <c r="Y246" s="35"/>
      <c r="Z246" s="38"/>
      <c r="AA246" s="36"/>
      <c r="AB246" s="39">
        <v>41481.472997685189</v>
      </c>
      <c r="AC246" s="40">
        <v>263</v>
      </c>
      <c r="AD246" s="36" t="s">
        <v>103</v>
      </c>
      <c r="AE246" s="35" t="s">
        <v>104</v>
      </c>
      <c r="AF246" s="35" t="s">
        <v>105</v>
      </c>
      <c r="AJ246" s="34">
        <f>Table_owssvr_1[[#This Row],[Total Connected Load (kW)]]</f>
        <v>7.4569899999999995E-2</v>
      </c>
      <c r="AK246" s="34">
        <v>0</v>
      </c>
    </row>
    <row r="247" spans="1:38">
      <c r="A247" s="35"/>
      <c r="B247" s="35" t="s">
        <v>461</v>
      </c>
      <c r="C247" s="36" t="s">
        <v>331</v>
      </c>
      <c r="D247" s="35"/>
      <c r="E247" s="37" t="b">
        <v>1</v>
      </c>
      <c r="F247" s="37" t="b">
        <v>0</v>
      </c>
      <c r="G247" s="37"/>
      <c r="H247" s="35"/>
      <c r="I247" s="37">
        <v>0.1</v>
      </c>
      <c r="J247" s="37">
        <v>120</v>
      </c>
      <c r="K247" s="36" t="s">
        <v>101</v>
      </c>
      <c r="L247" s="37">
        <v>0</v>
      </c>
      <c r="M247" s="35"/>
      <c r="N247" s="35"/>
      <c r="O247" s="36" t="s">
        <v>110</v>
      </c>
      <c r="P247" s="37" t="b">
        <v>0</v>
      </c>
      <c r="Q247" s="37">
        <v>7.4569899999999995E-2</v>
      </c>
      <c r="R247" s="37">
        <v>0</v>
      </c>
      <c r="S247" s="37" t="b">
        <v>0</v>
      </c>
      <c r="T247" s="35"/>
      <c r="U247" s="37">
        <v>0</v>
      </c>
      <c r="V247" s="35"/>
      <c r="W247" s="35"/>
      <c r="X247" s="35"/>
      <c r="Y247" s="35"/>
      <c r="Z247" s="38"/>
      <c r="AA247" s="36"/>
      <c r="AB247" s="39">
        <v>41481.472997685189</v>
      </c>
      <c r="AC247" s="40">
        <v>264</v>
      </c>
      <c r="AD247" s="36" t="s">
        <v>103</v>
      </c>
      <c r="AE247" s="35" t="s">
        <v>104</v>
      </c>
      <c r="AF247" s="35" t="s">
        <v>105</v>
      </c>
      <c r="AJ247" s="34">
        <f>Table_owssvr_1[[#This Row],[Total Connected Load (kW)]]</f>
        <v>7.4569899999999995E-2</v>
      </c>
      <c r="AK247" s="34">
        <v>0</v>
      </c>
    </row>
    <row r="248" spans="1:38">
      <c r="A248" s="35"/>
      <c r="B248" s="35" t="s">
        <v>462</v>
      </c>
      <c r="C248" s="36" t="s">
        <v>331</v>
      </c>
      <c r="D248" s="35"/>
      <c r="E248" s="37" t="b">
        <v>1</v>
      </c>
      <c r="F248" s="37" t="b">
        <v>0</v>
      </c>
      <c r="G248" s="37"/>
      <c r="H248" s="35"/>
      <c r="I248" s="37">
        <v>0.1</v>
      </c>
      <c r="J248" s="37">
        <v>120</v>
      </c>
      <c r="K248" s="36" t="s">
        <v>101</v>
      </c>
      <c r="L248" s="37">
        <v>0</v>
      </c>
      <c r="M248" s="35"/>
      <c r="N248" s="35"/>
      <c r="O248" s="36" t="s">
        <v>110</v>
      </c>
      <c r="P248" s="37" t="b">
        <v>0</v>
      </c>
      <c r="Q248" s="37">
        <v>7.4569899999999995E-2</v>
      </c>
      <c r="R248" s="37">
        <v>0</v>
      </c>
      <c r="S248" s="37" t="b">
        <v>0</v>
      </c>
      <c r="T248" s="35"/>
      <c r="U248" s="37">
        <v>0</v>
      </c>
      <c r="V248" s="35"/>
      <c r="W248" s="35"/>
      <c r="X248" s="35"/>
      <c r="Y248" s="35"/>
      <c r="Z248" s="38"/>
      <c r="AA248" s="36"/>
      <c r="AB248" s="39">
        <v>41481.472997685189</v>
      </c>
      <c r="AC248" s="40">
        <v>265</v>
      </c>
      <c r="AD248" s="36" t="s">
        <v>103</v>
      </c>
      <c r="AE248" s="35" t="s">
        <v>104</v>
      </c>
      <c r="AF248" s="35" t="s">
        <v>105</v>
      </c>
      <c r="AJ248" s="34">
        <f>Table_owssvr_1[[#This Row],[Total Connected Load (kW)]]</f>
        <v>7.4569899999999995E-2</v>
      </c>
      <c r="AK248" s="34">
        <v>0</v>
      </c>
    </row>
    <row r="249" spans="1:38">
      <c r="A249" s="35"/>
      <c r="B249" s="35" t="s">
        <v>463</v>
      </c>
      <c r="C249" s="36" t="s">
        <v>331</v>
      </c>
      <c r="D249" s="35"/>
      <c r="E249" s="37" t="b">
        <v>1</v>
      </c>
      <c r="F249" s="37" t="b">
        <v>0</v>
      </c>
      <c r="G249" s="37"/>
      <c r="H249" s="35"/>
      <c r="I249" s="37">
        <v>0.1</v>
      </c>
      <c r="J249" s="37">
        <v>120</v>
      </c>
      <c r="K249" s="36" t="s">
        <v>101</v>
      </c>
      <c r="L249" s="37">
        <v>0</v>
      </c>
      <c r="M249" s="35"/>
      <c r="N249" s="35"/>
      <c r="O249" s="36" t="s">
        <v>110</v>
      </c>
      <c r="P249" s="37" t="b">
        <v>0</v>
      </c>
      <c r="Q249" s="37">
        <v>7.4569899999999995E-2</v>
      </c>
      <c r="R249" s="37">
        <v>0</v>
      </c>
      <c r="S249" s="37" t="b">
        <v>0</v>
      </c>
      <c r="T249" s="35"/>
      <c r="U249" s="37">
        <v>0</v>
      </c>
      <c r="V249" s="35"/>
      <c r="W249" s="35"/>
      <c r="X249" s="35"/>
      <c r="Y249" s="35"/>
      <c r="Z249" s="38"/>
      <c r="AA249" s="36"/>
      <c r="AB249" s="39">
        <v>41481.472997685189</v>
      </c>
      <c r="AC249" s="40">
        <v>266</v>
      </c>
      <c r="AD249" s="36" t="s">
        <v>103</v>
      </c>
      <c r="AE249" s="35" t="s">
        <v>104</v>
      </c>
      <c r="AF249" s="35" t="s">
        <v>105</v>
      </c>
      <c r="AJ249" s="34">
        <f>Table_owssvr_1[[#This Row],[Total Connected Load (kW)]]</f>
        <v>7.4569899999999995E-2</v>
      </c>
      <c r="AK249" s="34">
        <v>0</v>
      </c>
    </row>
    <row r="250" spans="1:38">
      <c r="A250" s="35"/>
      <c r="B250" s="35" t="s">
        <v>464</v>
      </c>
      <c r="C250" s="36" t="s">
        <v>331</v>
      </c>
      <c r="D250" s="35"/>
      <c r="E250" s="37" t="b">
        <v>1</v>
      </c>
      <c r="F250" s="37" t="b">
        <v>0</v>
      </c>
      <c r="G250" s="37"/>
      <c r="H250" s="35"/>
      <c r="I250" s="37">
        <v>0.1</v>
      </c>
      <c r="J250" s="37">
        <v>120</v>
      </c>
      <c r="K250" s="36" t="s">
        <v>101</v>
      </c>
      <c r="L250" s="37">
        <v>0</v>
      </c>
      <c r="M250" s="35"/>
      <c r="N250" s="35"/>
      <c r="O250" s="36" t="s">
        <v>110</v>
      </c>
      <c r="P250" s="37" t="b">
        <v>0</v>
      </c>
      <c r="Q250" s="37">
        <v>7.4569899999999995E-2</v>
      </c>
      <c r="R250" s="37">
        <v>0</v>
      </c>
      <c r="S250" s="37" t="b">
        <v>0</v>
      </c>
      <c r="T250" s="35"/>
      <c r="U250" s="37">
        <v>0</v>
      </c>
      <c r="V250" s="35"/>
      <c r="W250" s="35"/>
      <c r="X250" s="35"/>
      <c r="Y250" s="35"/>
      <c r="Z250" s="38"/>
      <c r="AA250" s="36"/>
      <c r="AB250" s="39">
        <v>41481.472997685189</v>
      </c>
      <c r="AC250" s="40">
        <v>267</v>
      </c>
      <c r="AD250" s="36" t="s">
        <v>103</v>
      </c>
      <c r="AE250" s="35" t="s">
        <v>104</v>
      </c>
      <c r="AF250" s="35" t="s">
        <v>105</v>
      </c>
      <c r="AJ250" s="34">
        <f>Table_owssvr_1[[#This Row],[Total Connected Load (kW)]]</f>
        <v>7.4569899999999995E-2</v>
      </c>
      <c r="AK250" s="34">
        <v>0</v>
      </c>
    </row>
    <row r="251" spans="1:38">
      <c r="A251" s="35"/>
      <c r="B251" s="35" t="s">
        <v>465</v>
      </c>
      <c r="C251" s="36" t="s">
        <v>331</v>
      </c>
      <c r="D251" s="35"/>
      <c r="E251" s="37" t="b">
        <v>1</v>
      </c>
      <c r="F251" s="37" t="b">
        <v>0</v>
      </c>
      <c r="G251" s="37"/>
      <c r="H251" s="35"/>
      <c r="I251" s="37">
        <v>0.1</v>
      </c>
      <c r="J251" s="37">
        <v>120</v>
      </c>
      <c r="K251" s="36" t="s">
        <v>101</v>
      </c>
      <c r="L251" s="37">
        <v>0</v>
      </c>
      <c r="M251" s="35"/>
      <c r="N251" s="35"/>
      <c r="O251" s="36" t="s">
        <v>110</v>
      </c>
      <c r="P251" s="37" t="b">
        <v>0</v>
      </c>
      <c r="Q251" s="37">
        <v>7.4569899999999995E-2</v>
      </c>
      <c r="R251" s="37">
        <v>0</v>
      </c>
      <c r="S251" s="37" t="b">
        <v>0</v>
      </c>
      <c r="T251" s="35"/>
      <c r="U251" s="37">
        <v>0</v>
      </c>
      <c r="V251" s="35"/>
      <c r="W251" s="35"/>
      <c r="X251" s="35"/>
      <c r="Y251" s="35"/>
      <c r="Z251" s="38"/>
      <c r="AA251" s="36"/>
      <c r="AB251" s="39">
        <v>41481.472997685189</v>
      </c>
      <c r="AC251" s="40">
        <v>268</v>
      </c>
      <c r="AD251" s="36" t="s">
        <v>103</v>
      </c>
      <c r="AE251" s="35" t="s">
        <v>104</v>
      </c>
      <c r="AF251" s="35" t="s">
        <v>105</v>
      </c>
      <c r="AJ251" s="34">
        <f>Table_owssvr_1[[#This Row],[Total Connected Load (kW)]]</f>
        <v>7.4569899999999995E-2</v>
      </c>
      <c r="AK251" s="34">
        <v>0</v>
      </c>
    </row>
    <row r="252" spans="1:38">
      <c r="A252" s="35"/>
      <c r="B252" s="35" t="s">
        <v>466</v>
      </c>
      <c r="C252" s="36" t="s">
        <v>331</v>
      </c>
      <c r="D252" s="35"/>
      <c r="E252" s="37" t="b">
        <v>1</v>
      </c>
      <c r="F252" s="37" t="b">
        <v>0</v>
      </c>
      <c r="G252" s="37"/>
      <c r="H252" s="35"/>
      <c r="I252" s="37">
        <v>0.1</v>
      </c>
      <c r="J252" s="37">
        <v>120</v>
      </c>
      <c r="K252" s="36" t="s">
        <v>101</v>
      </c>
      <c r="L252" s="37">
        <v>0</v>
      </c>
      <c r="M252" s="35"/>
      <c r="N252" s="35"/>
      <c r="O252" s="36" t="s">
        <v>110</v>
      </c>
      <c r="P252" s="37" t="b">
        <v>0</v>
      </c>
      <c r="Q252" s="37">
        <v>7.4569899999999995E-2</v>
      </c>
      <c r="R252" s="37">
        <v>0</v>
      </c>
      <c r="S252" s="37" t="b">
        <v>0</v>
      </c>
      <c r="T252" s="35"/>
      <c r="U252" s="37">
        <v>0</v>
      </c>
      <c r="V252" s="35"/>
      <c r="W252" s="35"/>
      <c r="X252" s="35"/>
      <c r="Y252" s="35"/>
      <c r="Z252" s="38"/>
      <c r="AA252" s="36"/>
      <c r="AB252" s="39">
        <v>41481.472997685189</v>
      </c>
      <c r="AC252" s="40">
        <v>269</v>
      </c>
      <c r="AD252" s="36" t="s">
        <v>103</v>
      </c>
      <c r="AE252" s="35" t="s">
        <v>104</v>
      </c>
      <c r="AF252" s="35" t="s">
        <v>105</v>
      </c>
      <c r="AJ252" s="34">
        <f>Table_owssvr_1[[#This Row],[Total Connected Load (kW)]]</f>
        <v>7.4569899999999995E-2</v>
      </c>
      <c r="AK252" s="34">
        <v>0</v>
      </c>
    </row>
    <row r="253" spans="1:38">
      <c r="A253" s="35"/>
      <c r="B253" s="35" t="s">
        <v>467</v>
      </c>
      <c r="C253" s="36" t="s">
        <v>331</v>
      </c>
      <c r="D253" s="35"/>
      <c r="E253" s="37" t="b">
        <v>1</v>
      </c>
      <c r="F253" s="37" t="b">
        <v>0</v>
      </c>
      <c r="G253" s="37"/>
      <c r="H253" s="35"/>
      <c r="I253" s="37">
        <v>0.1</v>
      </c>
      <c r="J253" s="37">
        <v>120</v>
      </c>
      <c r="K253" s="36" t="s">
        <v>101</v>
      </c>
      <c r="L253" s="37">
        <v>0</v>
      </c>
      <c r="M253" s="35"/>
      <c r="N253" s="35"/>
      <c r="O253" s="36" t="s">
        <v>110</v>
      </c>
      <c r="P253" s="37" t="b">
        <v>0</v>
      </c>
      <c r="Q253" s="37">
        <v>7.4569899999999995E-2</v>
      </c>
      <c r="R253" s="37">
        <v>0</v>
      </c>
      <c r="S253" s="37" t="b">
        <v>0</v>
      </c>
      <c r="T253" s="35"/>
      <c r="U253" s="37">
        <v>0</v>
      </c>
      <c r="V253" s="35"/>
      <c r="W253" s="35"/>
      <c r="X253" s="35"/>
      <c r="Y253" s="35"/>
      <c r="Z253" s="38"/>
      <c r="AA253" s="36"/>
      <c r="AB253" s="39">
        <v>41481.472997685189</v>
      </c>
      <c r="AC253" s="40">
        <v>270</v>
      </c>
      <c r="AD253" s="36" t="s">
        <v>103</v>
      </c>
      <c r="AE253" s="35" t="s">
        <v>104</v>
      </c>
      <c r="AF253" s="35" t="s">
        <v>105</v>
      </c>
      <c r="AJ253" s="34">
        <f>Table_owssvr_1[[#This Row],[Total Connected Load (kW)]]</f>
        <v>7.4569899999999995E-2</v>
      </c>
      <c r="AK253" s="34">
        <v>0</v>
      </c>
    </row>
    <row r="254" spans="1:38">
      <c r="A254" s="35"/>
      <c r="B254" s="35" t="s">
        <v>468</v>
      </c>
      <c r="C254" s="36" t="s">
        <v>331</v>
      </c>
      <c r="D254" s="35"/>
      <c r="E254" s="37" t="b">
        <v>1</v>
      </c>
      <c r="F254" s="37" t="b">
        <v>0</v>
      </c>
      <c r="G254" s="37"/>
      <c r="H254" s="35"/>
      <c r="I254" s="37">
        <v>0.1</v>
      </c>
      <c r="J254" s="37">
        <v>120</v>
      </c>
      <c r="K254" s="36" t="s">
        <v>101</v>
      </c>
      <c r="L254" s="37">
        <v>0</v>
      </c>
      <c r="M254" s="35"/>
      <c r="N254" s="35"/>
      <c r="O254" s="36" t="s">
        <v>110</v>
      </c>
      <c r="P254" s="37" t="b">
        <v>0</v>
      </c>
      <c r="Q254" s="37">
        <v>7.4569899999999995E-2</v>
      </c>
      <c r="R254" s="37">
        <v>0</v>
      </c>
      <c r="S254" s="37" t="b">
        <v>0</v>
      </c>
      <c r="T254" s="35"/>
      <c r="U254" s="37">
        <v>0</v>
      </c>
      <c r="V254" s="35"/>
      <c r="W254" s="35"/>
      <c r="X254" s="35"/>
      <c r="Y254" s="35"/>
      <c r="Z254" s="38"/>
      <c r="AA254" s="36"/>
      <c r="AB254" s="39">
        <v>41481.472997685189</v>
      </c>
      <c r="AC254" s="40">
        <v>271</v>
      </c>
      <c r="AD254" s="36" t="s">
        <v>103</v>
      </c>
      <c r="AE254" s="35" t="s">
        <v>104</v>
      </c>
      <c r="AF254" s="35" t="s">
        <v>105</v>
      </c>
      <c r="AJ254" s="34">
        <f>Table_owssvr_1[[#This Row],[Total Connected Load (kW)]]</f>
        <v>7.4569899999999995E-2</v>
      </c>
      <c r="AK254" s="34">
        <v>0</v>
      </c>
    </row>
    <row r="255" spans="1:38">
      <c r="A255" s="35"/>
      <c r="B255" s="35" t="s">
        <v>469</v>
      </c>
      <c r="C255" s="36" t="s">
        <v>331</v>
      </c>
      <c r="D255" s="35" t="s">
        <v>470</v>
      </c>
      <c r="E255" s="37" t="b">
        <v>1</v>
      </c>
      <c r="F255" s="37" t="b">
        <v>0</v>
      </c>
      <c r="G255" s="37"/>
      <c r="H255" s="35" t="s">
        <v>471</v>
      </c>
      <c r="I255" s="37"/>
      <c r="J255" s="37">
        <v>480</v>
      </c>
      <c r="K255" s="36" t="s">
        <v>101</v>
      </c>
      <c r="L255" s="37"/>
      <c r="M255" s="35"/>
      <c r="N255" s="35"/>
      <c r="O255" s="36" t="s">
        <v>102</v>
      </c>
      <c r="P255" s="37" t="b">
        <v>0</v>
      </c>
      <c r="Q255" s="37">
        <v>0</v>
      </c>
      <c r="R255" s="37">
        <v>0</v>
      </c>
      <c r="S255" s="37" t="b">
        <v>0</v>
      </c>
      <c r="T255" s="35"/>
      <c r="U255" s="37">
        <v>0</v>
      </c>
      <c r="V255" s="35"/>
      <c r="W255" s="35"/>
      <c r="X255" s="35"/>
      <c r="Y255" s="35"/>
      <c r="Z255" s="38"/>
      <c r="AA255" s="36"/>
      <c r="AB255" s="39">
        <v>41481.472997685189</v>
      </c>
      <c r="AC255" s="40">
        <v>285</v>
      </c>
      <c r="AD255" s="36" t="s">
        <v>103</v>
      </c>
      <c r="AE255" s="35" t="s">
        <v>104</v>
      </c>
      <c r="AF255" s="35" t="s">
        <v>105</v>
      </c>
      <c r="AJ255" s="34">
        <v>45</v>
      </c>
      <c r="AK255" s="34">
        <v>0</v>
      </c>
      <c r="AL255" s="34" t="s">
        <v>628</v>
      </c>
    </row>
    <row r="256" spans="1:38">
      <c r="A256" s="35"/>
      <c r="B256" s="35" t="s">
        <v>472</v>
      </c>
      <c r="C256" s="36" t="s">
        <v>331</v>
      </c>
      <c r="D256" s="35" t="s">
        <v>145</v>
      </c>
      <c r="E256" s="37" t="b">
        <v>1</v>
      </c>
      <c r="F256" s="37" t="b">
        <v>0</v>
      </c>
      <c r="G256" s="37"/>
      <c r="H256" s="35"/>
      <c r="I256" s="37">
        <v>0</v>
      </c>
      <c r="J256" s="37">
        <v>480</v>
      </c>
      <c r="K256" s="36" t="s">
        <v>101</v>
      </c>
      <c r="L256" s="37">
        <v>0</v>
      </c>
      <c r="M256" s="35"/>
      <c r="N256" s="35"/>
      <c r="O256" s="36" t="s">
        <v>110</v>
      </c>
      <c r="P256" s="37" t="b">
        <v>0</v>
      </c>
      <c r="Q256" s="97">
        <v>15</v>
      </c>
      <c r="R256" s="37">
        <v>0</v>
      </c>
      <c r="S256" s="37" t="b">
        <v>0</v>
      </c>
      <c r="T256" s="35"/>
      <c r="U256" s="37">
        <v>0</v>
      </c>
      <c r="V256" s="35"/>
      <c r="W256" s="35"/>
      <c r="X256" s="35"/>
      <c r="Y256" s="35"/>
      <c r="Z256" s="38"/>
      <c r="AA256" s="36"/>
      <c r="AB256" s="39">
        <v>41484.429201388892</v>
      </c>
      <c r="AC256" s="40">
        <v>296</v>
      </c>
      <c r="AD256" s="36" t="s">
        <v>103</v>
      </c>
      <c r="AE256" s="35" t="s">
        <v>104</v>
      </c>
      <c r="AF256" s="35" t="s">
        <v>105</v>
      </c>
      <c r="AJ256" s="34">
        <v>15</v>
      </c>
      <c r="AK256" s="34">
        <v>0</v>
      </c>
      <c r="AL256" s="34" t="s">
        <v>629</v>
      </c>
    </row>
    <row r="257" spans="1:38">
      <c r="A257" s="35" t="s">
        <v>410</v>
      </c>
      <c r="B257" s="35" t="s">
        <v>411</v>
      </c>
      <c r="C257" s="36" t="s">
        <v>331</v>
      </c>
      <c r="D257" s="35"/>
      <c r="E257" s="37" t="b">
        <v>1</v>
      </c>
      <c r="F257" s="37" t="b">
        <v>0</v>
      </c>
      <c r="G257" s="37" t="b">
        <v>0</v>
      </c>
      <c r="H257" s="35"/>
      <c r="I257" s="37">
        <v>0</v>
      </c>
      <c r="J257" s="37"/>
      <c r="K257" s="36" t="s">
        <v>101</v>
      </c>
      <c r="L257" s="37">
        <v>0</v>
      </c>
      <c r="M257" s="35"/>
      <c r="N257" s="35"/>
      <c r="O257" s="36" t="s">
        <v>102</v>
      </c>
      <c r="P257" s="37" t="b">
        <v>0</v>
      </c>
      <c r="Q257" s="37">
        <v>0</v>
      </c>
      <c r="R257" s="37">
        <v>0</v>
      </c>
      <c r="S257" s="37" t="b">
        <v>0</v>
      </c>
      <c r="T257" s="35"/>
      <c r="U257" s="37">
        <v>0</v>
      </c>
      <c r="V257" s="35"/>
      <c r="W257" s="35"/>
      <c r="X257" s="35"/>
      <c r="Y257" s="35"/>
      <c r="Z257" s="38"/>
      <c r="AA257" s="36"/>
      <c r="AB257" s="39">
        <v>41493.527870370373</v>
      </c>
      <c r="AC257" s="40">
        <v>315</v>
      </c>
      <c r="AD257" s="36" t="s">
        <v>103</v>
      </c>
      <c r="AE257" s="35" t="s">
        <v>104</v>
      </c>
      <c r="AF257" s="35" t="s">
        <v>105</v>
      </c>
      <c r="AJ257" s="34">
        <v>0</v>
      </c>
      <c r="AK257" s="34">
        <v>0</v>
      </c>
    </row>
    <row r="258" spans="1:38" hidden="1">
      <c r="A258" s="35" t="s">
        <v>473</v>
      </c>
      <c r="B258" s="35" t="s">
        <v>474</v>
      </c>
      <c r="C258" s="36" t="s">
        <v>331</v>
      </c>
      <c r="D258" s="35"/>
      <c r="E258" s="37" t="b">
        <v>1</v>
      </c>
      <c r="F258" s="37" t="b">
        <v>0</v>
      </c>
      <c r="G258" s="37" t="b">
        <v>0</v>
      </c>
      <c r="H258" s="35"/>
      <c r="I258" s="37">
        <v>0</v>
      </c>
      <c r="J258" s="37"/>
      <c r="K258" s="36" t="s">
        <v>101</v>
      </c>
      <c r="L258" s="37">
        <v>0</v>
      </c>
      <c r="M258" s="35"/>
      <c r="N258" s="35"/>
      <c r="O258" s="36" t="s">
        <v>102</v>
      </c>
      <c r="P258" s="37" t="b">
        <v>0</v>
      </c>
      <c r="Q258" s="37">
        <v>0</v>
      </c>
      <c r="R258" s="37">
        <v>0</v>
      </c>
      <c r="S258" s="37" t="b">
        <v>0</v>
      </c>
      <c r="T258" s="35"/>
      <c r="U258" s="37">
        <v>0</v>
      </c>
      <c r="V258" s="35"/>
      <c r="W258" s="35"/>
      <c r="X258" s="35"/>
      <c r="Y258" s="35"/>
      <c r="Z258" s="38"/>
      <c r="AA258" s="36"/>
      <c r="AB258" s="39">
        <v>41493.531331018516</v>
      </c>
      <c r="AC258" s="40">
        <v>317</v>
      </c>
      <c r="AD258" s="36" t="s">
        <v>103</v>
      </c>
      <c r="AE258" s="35" t="s">
        <v>104</v>
      </c>
      <c r="AF258" s="35" t="s">
        <v>105</v>
      </c>
    </row>
    <row r="259" spans="1:38" hidden="1">
      <c r="A259" s="35" t="s">
        <v>475</v>
      </c>
      <c r="B259" s="35" t="s">
        <v>474</v>
      </c>
      <c r="C259" s="36" t="s">
        <v>331</v>
      </c>
      <c r="D259" s="35"/>
      <c r="E259" s="37" t="b">
        <v>1</v>
      </c>
      <c r="F259" s="37" t="b">
        <v>0</v>
      </c>
      <c r="G259" s="37" t="b">
        <v>0</v>
      </c>
      <c r="H259" s="35"/>
      <c r="I259" s="37">
        <v>0</v>
      </c>
      <c r="J259" s="37"/>
      <c r="K259" s="36" t="s">
        <v>101</v>
      </c>
      <c r="L259" s="37">
        <v>0</v>
      </c>
      <c r="M259" s="35"/>
      <c r="N259" s="35"/>
      <c r="O259" s="36" t="s">
        <v>102</v>
      </c>
      <c r="P259" s="37" t="b">
        <v>0</v>
      </c>
      <c r="Q259" s="37">
        <v>0</v>
      </c>
      <c r="R259" s="37">
        <v>0</v>
      </c>
      <c r="S259" s="37" t="b">
        <v>0</v>
      </c>
      <c r="T259" s="35"/>
      <c r="U259" s="37">
        <v>0</v>
      </c>
      <c r="V259" s="35"/>
      <c r="W259" s="35"/>
      <c r="X259" s="35"/>
      <c r="Y259" s="35"/>
      <c r="Z259" s="38"/>
      <c r="AA259" s="36"/>
      <c r="AB259" s="39">
        <v>41493.531539351854</v>
      </c>
      <c r="AC259" s="40">
        <v>318</v>
      </c>
      <c r="AD259" s="36" t="s">
        <v>103</v>
      </c>
      <c r="AE259" s="35" t="s">
        <v>104</v>
      </c>
      <c r="AF259" s="35" t="s">
        <v>105</v>
      </c>
    </row>
    <row r="260" spans="1:38">
      <c r="A260" s="35" t="s">
        <v>476</v>
      </c>
      <c r="B260" s="35" t="s">
        <v>477</v>
      </c>
      <c r="C260" s="36" t="s">
        <v>331</v>
      </c>
      <c r="D260" s="35"/>
      <c r="E260" s="37" t="b">
        <v>1</v>
      </c>
      <c r="F260" s="37" t="b">
        <v>0</v>
      </c>
      <c r="G260" s="37" t="b">
        <v>0</v>
      </c>
      <c r="H260" s="35"/>
      <c r="I260" s="37">
        <v>0</v>
      </c>
      <c r="J260" s="37"/>
      <c r="K260" s="36" t="s">
        <v>101</v>
      </c>
      <c r="L260" s="37">
        <v>0</v>
      </c>
      <c r="M260" s="35"/>
      <c r="N260" s="35"/>
      <c r="O260" s="36" t="s">
        <v>102</v>
      </c>
      <c r="P260" s="37" t="b">
        <v>0</v>
      </c>
      <c r="Q260" s="37">
        <v>0</v>
      </c>
      <c r="R260" s="37">
        <v>0</v>
      </c>
      <c r="S260" s="37" t="b">
        <v>0</v>
      </c>
      <c r="T260" s="35"/>
      <c r="U260" s="37">
        <v>0</v>
      </c>
      <c r="V260" s="35"/>
      <c r="W260" s="35"/>
      <c r="X260" s="35"/>
      <c r="Y260" s="35"/>
      <c r="Z260" s="38"/>
      <c r="AA260" s="36"/>
      <c r="AB260" s="39">
        <v>41493.674166666664</v>
      </c>
      <c r="AC260" s="40">
        <v>319</v>
      </c>
      <c r="AD260" s="36" t="s">
        <v>103</v>
      </c>
      <c r="AE260" s="35" t="s">
        <v>104</v>
      </c>
      <c r="AF260" s="35" t="s">
        <v>105</v>
      </c>
      <c r="AJ260" s="34">
        <v>0</v>
      </c>
      <c r="AK260" s="34">
        <v>0</v>
      </c>
    </row>
    <row r="261" spans="1:38">
      <c r="A261" s="35" t="s">
        <v>478</v>
      </c>
      <c r="B261" s="35" t="s">
        <v>479</v>
      </c>
      <c r="C261" s="36" t="s">
        <v>331</v>
      </c>
      <c r="D261" s="35"/>
      <c r="E261" s="37" t="b">
        <v>1</v>
      </c>
      <c r="F261" s="37" t="b">
        <v>0</v>
      </c>
      <c r="G261" s="37" t="b">
        <v>0</v>
      </c>
      <c r="H261" s="35"/>
      <c r="I261" s="37">
        <v>0</v>
      </c>
      <c r="J261" s="37"/>
      <c r="K261" s="36" t="s">
        <v>101</v>
      </c>
      <c r="L261" s="37">
        <v>0</v>
      </c>
      <c r="M261" s="35"/>
      <c r="N261" s="35"/>
      <c r="O261" s="36" t="s">
        <v>102</v>
      </c>
      <c r="P261" s="37" t="b">
        <v>0</v>
      </c>
      <c r="Q261" s="37">
        <v>0</v>
      </c>
      <c r="R261" s="37">
        <v>0</v>
      </c>
      <c r="S261" s="37" t="b">
        <v>0</v>
      </c>
      <c r="T261" s="35"/>
      <c r="U261" s="37">
        <v>0</v>
      </c>
      <c r="V261" s="35"/>
      <c r="W261" s="35"/>
      <c r="X261" s="35"/>
      <c r="Y261" s="35"/>
      <c r="Z261" s="38"/>
      <c r="AA261" s="36"/>
      <c r="AB261" s="39">
        <v>41493.674745370372</v>
      </c>
      <c r="AC261" s="40">
        <v>320</v>
      </c>
      <c r="AD261" s="36" t="s">
        <v>103</v>
      </c>
      <c r="AE261" s="35" t="s">
        <v>104</v>
      </c>
      <c r="AF261" s="35" t="s">
        <v>105</v>
      </c>
      <c r="AJ261" s="34">
        <v>0</v>
      </c>
      <c r="AK261" s="34">
        <v>0</v>
      </c>
    </row>
    <row r="262" spans="1:38">
      <c r="A262" s="35" t="s">
        <v>480</v>
      </c>
      <c r="B262" s="35" t="s">
        <v>481</v>
      </c>
      <c r="C262" s="36" t="s">
        <v>482</v>
      </c>
      <c r="D262" s="35"/>
      <c r="E262" s="37" t="b">
        <v>1</v>
      </c>
      <c r="F262" s="37" t="b">
        <v>0</v>
      </c>
      <c r="G262" s="37"/>
      <c r="H262" s="35" t="s">
        <v>483</v>
      </c>
      <c r="I262" s="37"/>
      <c r="J262" s="37">
        <v>480</v>
      </c>
      <c r="K262" s="36" t="s">
        <v>101</v>
      </c>
      <c r="L262" s="37">
        <v>0</v>
      </c>
      <c r="M262" s="35"/>
      <c r="N262" s="35"/>
      <c r="O262" s="36" t="s">
        <v>102</v>
      </c>
      <c r="P262" s="37" t="b">
        <v>1</v>
      </c>
      <c r="Q262" s="37">
        <v>0</v>
      </c>
      <c r="R262" s="37">
        <v>0</v>
      </c>
      <c r="S262" s="37" t="b">
        <v>0</v>
      </c>
      <c r="T262" s="35"/>
      <c r="U262" s="37">
        <v>0</v>
      </c>
      <c r="V262" s="35"/>
      <c r="W262" s="35"/>
      <c r="X262" s="35"/>
      <c r="Y262" s="35"/>
      <c r="Z262" s="38"/>
      <c r="AA262" s="36"/>
      <c r="AB262" s="39">
        <v>41493.694537037038</v>
      </c>
      <c r="AC262" s="40">
        <v>62</v>
      </c>
      <c r="AD262" s="36" t="s">
        <v>103</v>
      </c>
      <c r="AE262" s="35" t="s">
        <v>104</v>
      </c>
      <c r="AF262" s="35" t="s">
        <v>105</v>
      </c>
      <c r="AJ262" s="34">
        <v>12.6</v>
      </c>
      <c r="AK262" s="34">
        <v>12.6</v>
      </c>
    </row>
    <row r="263" spans="1:38">
      <c r="A263" s="35" t="s">
        <v>484</v>
      </c>
      <c r="B263" s="35" t="s">
        <v>485</v>
      </c>
      <c r="C263" s="36" t="s">
        <v>482</v>
      </c>
      <c r="D263" s="35"/>
      <c r="E263" s="37" t="b">
        <v>0</v>
      </c>
      <c r="F263" s="37" t="b">
        <v>1</v>
      </c>
      <c r="G263" s="37"/>
      <c r="H263" s="35" t="s">
        <v>483</v>
      </c>
      <c r="I263" s="37">
        <v>0</v>
      </c>
      <c r="J263" s="37">
        <v>480</v>
      </c>
      <c r="K263" s="36" t="s">
        <v>101</v>
      </c>
      <c r="L263" s="37">
        <v>0</v>
      </c>
      <c r="M263" s="35"/>
      <c r="N263" s="35"/>
      <c r="O263" s="36" t="s">
        <v>102</v>
      </c>
      <c r="P263" s="37" t="b">
        <v>1</v>
      </c>
      <c r="Q263" s="37">
        <v>0</v>
      </c>
      <c r="R263" s="37">
        <v>0</v>
      </c>
      <c r="S263" s="37" t="b">
        <v>0</v>
      </c>
      <c r="T263" s="35"/>
      <c r="U263" s="37">
        <v>0</v>
      </c>
      <c r="V263" s="35"/>
      <c r="W263" s="35"/>
      <c r="X263" s="35"/>
      <c r="Y263" s="35"/>
      <c r="Z263" s="38"/>
      <c r="AA263" s="36"/>
      <c r="AB263" s="39">
        <v>41493.694780092592</v>
      </c>
      <c r="AC263" s="40">
        <v>63</v>
      </c>
      <c r="AD263" s="36" t="s">
        <v>103</v>
      </c>
      <c r="AE263" s="35" t="s">
        <v>104</v>
      </c>
      <c r="AF263" s="35" t="s">
        <v>105</v>
      </c>
      <c r="AJ263" s="34">
        <v>0</v>
      </c>
      <c r="AK263" s="34">
        <v>0</v>
      </c>
      <c r="AL263" s="34" t="s">
        <v>557</v>
      </c>
    </row>
    <row r="264" spans="1:38">
      <c r="A264" s="35"/>
      <c r="B264" s="35" t="s">
        <v>486</v>
      </c>
      <c r="C264" s="36" t="s">
        <v>482</v>
      </c>
      <c r="D264" s="35"/>
      <c r="E264" s="37" t="b">
        <v>1</v>
      </c>
      <c r="F264" s="37" t="b">
        <v>0</v>
      </c>
      <c r="G264" s="37"/>
      <c r="H264" s="35"/>
      <c r="I264" s="37">
        <v>2</v>
      </c>
      <c r="J264" s="37">
        <v>208</v>
      </c>
      <c r="K264" s="36" t="s">
        <v>138</v>
      </c>
      <c r="L264" s="37">
        <v>0.9</v>
      </c>
      <c r="M264" s="35"/>
      <c r="N264" s="35"/>
      <c r="O264" s="36" t="s">
        <v>110</v>
      </c>
      <c r="P264" s="37" t="b">
        <v>0</v>
      </c>
      <c r="Q264" s="37">
        <v>1.491398</v>
      </c>
      <c r="R264" s="37">
        <v>0.67112910000000003</v>
      </c>
      <c r="S264" s="37" t="b">
        <v>0</v>
      </c>
      <c r="T264" s="35"/>
      <c r="U264" s="37">
        <v>0</v>
      </c>
      <c r="V264" s="35"/>
      <c r="W264" s="35"/>
      <c r="X264" s="35"/>
      <c r="Y264" s="35"/>
      <c r="Z264" s="38"/>
      <c r="AA264" s="36"/>
      <c r="AB264" s="39">
        <v>41481.473009259258</v>
      </c>
      <c r="AC264" s="40">
        <v>210</v>
      </c>
      <c r="AD264" s="36" t="s">
        <v>103</v>
      </c>
      <c r="AE264" s="35" t="s">
        <v>104</v>
      </c>
      <c r="AF264" s="35" t="s">
        <v>105</v>
      </c>
      <c r="AJ264" s="34">
        <f>Table_owssvr_1[[#This Row],[Total Expected Load (kW)]]</f>
        <v>0.67112910000000003</v>
      </c>
      <c r="AK264" s="34">
        <f>Table_owssvr_1[[#This Row],[Total Expected Load (kW)]]</f>
        <v>0.67112910000000003</v>
      </c>
    </row>
    <row r="265" spans="1:38">
      <c r="A265" s="35"/>
      <c r="B265" s="35" t="s">
        <v>487</v>
      </c>
      <c r="C265" s="36" t="s">
        <v>482</v>
      </c>
      <c r="D265" s="35"/>
      <c r="E265" s="37" t="b">
        <v>1</v>
      </c>
      <c r="F265" s="37" t="b">
        <v>0</v>
      </c>
      <c r="G265" s="37"/>
      <c r="H265" s="35"/>
      <c r="I265" s="37">
        <v>0.75</v>
      </c>
      <c r="J265" s="37">
        <v>208</v>
      </c>
      <c r="K265" s="36" t="s">
        <v>138</v>
      </c>
      <c r="L265" s="37">
        <v>0.3</v>
      </c>
      <c r="M265" s="35"/>
      <c r="N265" s="35"/>
      <c r="O265" s="36" t="s">
        <v>110</v>
      </c>
      <c r="P265" s="37" t="b">
        <v>0</v>
      </c>
      <c r="Q265" s="37">
        <v>0.55927424999999997</v>
      </c>
      <c r="R265" s="37">
        <v>0.22370970000000001</v>
      </c>
      <c r="S265" s="37" t="b">
        <v>0</v>
      </c>
      <c r="T265" s="35"/>
      <c r="U265" s="37">
        <v>0</v>
      </c>
      <c r="V265" s="35"/>
      <c r="W265" s="35"/>
      <c r="X265" s="35"/>
      <c r="Y265" s="35"/>
      <c r="Z265" s="38"/>
      <c r="AA265" s="36"/>
      <c r="AB265" s="39">
        <v>41481.473009259258</v>
      </c>
      <c r="AC265" s="40">
        <v>211</v>
      </c>
      <c r="AD265" s="36" t="s">
        <v>103</v>
      </c>
      <c r="AE265" s="35" t="s">
        <v>104</v>
      </c>
      <c r="AF265" s="35" t="s">
        <v>105</v>
      </c>
      <c r="AJ265" s="34">
        <f>Table_owssvr_1[[#This Row],[Total Expected Load (kW)]]</f>
        <v>0.22370970000000001</v>
      </c>
      <c r="AK265" s="34">
        <f>Table_owssvr_1[[#This Row],[Total Expected Load (kW)]]</f>
        <v>0.22370970000000001</v>
      </c>
    </row>
    <row r="266" spans="1:38">
      <c r="A266" s="35" t="s">
        <v>488</v>
      </c>
      <c r="B266" s="35" t="s">
        <v>489</v>
      </c>
      <c r="C266" s="36" t="s">
        <v>490</v>
      </c>
      <c r="D266" s="35"/>
      <c r="E266" s="37" t="b">
        <v>1</v>
      </c>
      <c r="F266" s="37" t="b">
        <v>0</v>
      </c>
      <c r="G266" s="37"/>
      <c r="H266" s="35" t="s">
        <v>620</v>
      </c>
      <c r="I266" s="37">
        <v>250</v>
      </c>
      <c r="J266" s="37">
        <v>480</v>
      </c>
      <c r="K266" s="36" t="s">
        <v>138</v>
      </c>
      <c r="L266" s="37">
        <v>0</v>
      </c>
      <c r="M266" s="35"/>
      <c r="N266" s="35"/>
      <c r="O266" s="36" t="s">
        <v>102</v>
      </c>
      <c r="P266" s="37" t="b">
        <v>0</v>
      </c>
      <c r="Q266" s="37">
        <v>186.42474999999999</v>
      </c>
      <c r="R266" s="37">
        <v>0</v>
      </c>
      <c r="S266" s="37" t="b">
        <v>0</v>
      </c>
      <c r="T266" s="35"/>
      <c r="U266" s="37">
        <v>0</v>
      </c>
      <c r="V266" s="35"/>
      <c r="W266" s="35"/>
      <c r="X266" s="35"/>
      <c r="Y266" s="35"/>
      <c r="Z266" s="38"/>
      <c r="AA266" s="36"/>
      <c r="AB266" s="39">
        <v>41481.484583333331</v>
      </c>
      <c r="AC266" s="40">
        <v>30</v>
      </c>
      <c r="AD266" s="36" t="s">
        <v>103</v>
      </c>
      <c r="AE266" s="35" t="s">
        <v>104</v>
      </c>
      <c r="AF266" s="35" t="s">
        <v>105</v>
      </c>
      <c r="AJ266" s="42"/>
      <c r="AK266" s="42"/>
      <c r="AL266" s="34" t="s">
        <v>545</v>
      </c>
    </row>
    <row r="267" spans="1:38">
      <c r="A267" s="35" t="s">
        <v>491</v>
      </c>
      <c r="B267" s="35" t="s">
        <v>492</v>
      </c>
      <c r="C267" s="36" t="s">
        <v>490</v>
      </c>
      <c r="D267" s="35"/>
      <c r="E267" s="37" t="b">
        <v>1</v>
      </c>
      <c r="F267" s="37" t="b">
        <v>0</v>
      </c>
      <c r="G267" s="37"/>
      <c r="H267" s="35" t="s">
        <v>620</v>
      </c>
      <c r="I267" s="37">
        <v>250</v>
      </c>
      <c r="J267" s="37">
        <v>480</v>
      </c>
      <c r="K267" s="36" t="s">
        <v>138</v>
      </c>
      <c r="L267" s="37">
        <v>0</v>
      </c>
      <c r="M267" s="35"/>
      <c r="N267" s="35"/>
      <c r="O267" s="36" t="s">
        <v>102</v>
      </c>
      <c r="P267" s="37" t="b">
        <v>0</v>
      </c>
      <c r="Q267" s="37">
        <v>186.42474999999999</v>
      </c>
      <c r="R267" s="37">
        <v>0</v>
      </c>
      <c r="S267" s="37" t="b">
        <v>0</v>
      </c>
      <c r="T267" s="35"/>
      <c r="U267" s="37">
        <v>0</v>
      </c>
      <c r="V267" s="35"/>
      <c r="W267" s="35"/>
      <c r="X267" s="35"/>
      <c r="Y267" s="35"/>
      <c r="Z267" s="38"/>
      <c r="AA267" s="36"/>
      <c r="AB267" s="39">
        <v>41481.484583333331</v>
      </c>
      <c r="AC267" s="40">
        <v>31</v>
      </c>
      <c r="AD267" s="36" t="s">
        <v>103</v>
      </c>
      <c r="AE267" s="35" t="s">
        <v>104</v>
      </c>
      <c r="AF267" s="35" t="s">
        <v>105</v>
      </c>
      <c r="AJ267" s="42"/>
      <c r="AK267" s="42"/>
      <c r="AL267" s="34" t="s">
        <v>545</v>
      </c>
    </row>
    <row r="268" spans="1:38">
      <c r="A268" s="35" t="s">
        <v>493</v>
      </c>
      <c r="B268" s="35" t="s">
        <v>494</v>
      </c>
      <c r="C268" s="36" t="s">
        <v>490</v>
      </c>
      <c r="D268" s="35"/>
      <c r="E268" s="37" t="b">
        <v>1</v>
      </c>
      <c r="F268" s="37" t="b">
        <v>0</v>
      </c>
      <c r="G268" s="37"/>
      <c r="H268" s="35" t="s">
        <v>621</v>
      </c>
      <c r="I268" s="37">
        <v>400</v>
      </c>
      <c r="J268" s="37">
        <v>480</v>
      </c>
      <c r="K268" s="36" t="s">
        <v>101</v>
      </c>
      <c r="L268" s="37">
        <v>0</v>
      </c>
      <c r="M268" s="35"/>
      <c r="N268" s="35"/>
      <c r="O268" s="36" t="s">
        <v>102</v>
      </c>
      <c r="P268" s="37" t="b">
        <v>0</v>
      </c>
      <c r="Q268" s="37">
        <v>298.27960000000002</v>
      </c>
      <c r="R268" s="37">
        <v>0</v>
      </c>
      <c r="S268" s="37" t="b">
        <v>0</v>
      </c>
      <c r="T268" s="35"/>
      <c r="U268" s="37">
        <v>0</v>
      </c>
      <c r="V268" s="35"/>
      <c r="W268" s="35"/>
      <c r="X268" s="35"/>
      <c r="Y268" s="35"/>
      <c r="Z268" s="38"/>
      <c r="AA268" s="36"/>
      <c r="AB268" s="39">
        <v>41481.484583333331</v>
      </c>
      <c r="AC268" s="40">
        <v>32</v>
      </c>
      <c r="AD268" s="36" t="s">
        <v>103</v>
      </c>
      <c r="AE268" s="35" t="s">
        <v>104</v>
      </c>
      <c r="AF268" s="35" t="s">
        <v>105</v>
      </c>
      <c r="AJ268" s="42"/>
      <c r="AK268" s="42"/>
      <c r="AL268" s="34" t="s">
        <v>545</v>
      </c>
    </row>
    <row r="269" spans="1:38">
      <c r="A269" s="35" t="s">
        <v>495</v>
      </c>
      <c r="B269" s="35" t="s">
        <v>496</v>
      </c>
      <c r="C269" s="36" t="s">
        <v>490</v>
      </c>
      <c r="D269" s="35"/>
      <c r="E269" s="37" t="b">
        <v>0</v>
      </c>
      <c r="F269" s="37" t="b">
        <v>1</v>
      </c>
      <c r="G269" s="37"/>
      <c r="H269" s="35" t="s">
        <v>621</v>
      </c>
      <c r="I269" s="37">
        <v>400</v>
      </c>
      <c r="J269" s="37">
        <v>480</v>
      </c>
      <c r="K269" s="36" t="s">
        <v>101</v>
      </c>
      <c r="L269" s="37">
        <v>0</v>
      </c>
      <c r="M269" s="35"/>
      <c r="N269" s="35"/>
      <c r="O269" s="36" t="s">
        <v>102</v>
      </c>
      <c r="P269" s="37" t="b">
        <v>0</v>
      </c>
      <c r="Q269" s="37">
        <v>298.27960000000002</v>
      </c>
      <c r="R269" s="37">
        <v>0</v>
      </c>
      <c r="S269" s="37" t="b">
        <v>0</v>
      </c>
      <c r="T269" s="35"/>
      <c r="U269" s="37">
        <v>0</v>
      </c>
      <c r="V269" s="35"/>
      <c r="W269" s="35"/>
      <c r="X269" s="35"/>
      <c r="Y269" s="35"/>
      <c r="Z269" s="38"/>
      <c r="AA269" s="36"/>
      <c r="AB269" s="39">
        <v>41481.484618055554</v>
      </c>
      <c r="AC269" s="40">
        <v>33</v>
      </c>
      <c r="AD269" s="36" t="s">
        <v>103</v>
      </c>
      <c r="AE269" s="35" t="s">
        <v>104</v>
      </c>
      <c r="AF269" s="35" t="s">
        <v>105</v>
      </c>
      <c r="AJ269" s="42"/>
      <c r="AK269" s="42"/>
      <c r="AL269" s="34" t="s">
        <v>545</v>
      </c>
    </row>
    <row r="270" spans="1:38" hidden="1">
      <c r="A270" s="35" t="s">
        <v>497</v>
      </c>
      <c r="B270" s="35" t="s">
        <v>498</v>
      </c>
      <c r="C270" s="36" t="s">
        <v>490</v>
      </c>
      <c r="D270" s="35"/>
      <c r="E270" s="37" t="b">
        <v>1</v>
      </c>
      <c r="F270" s="37" t="b">
        <v>0</v>
      </c>
      <c r="G270" s="37"/>
      <c r="H270" s="35"/>
      <c r="I270" s="37">
        <v>0</v>
      </c>
      <c r="J270" s="37"/>
      <c r="K270" s="36" t="s">
        <v>101</v>
      </c>
      <c r="L270" s="37">
        <v>0</v>
      </c>
      <c r="M270" s="35"/>
      <c r="N270" s="35"/>
      <c r="O270" s="36" t="s">
        <v>102</v>
      </c>
      <c r="P270" s="37" t="b">
        <v>0</v>
      </c>
      <c r="Q270" s="37">
        <v>0</v>
      </c>
      <c r="R270" s="37">
        <v>0</v>
      </c>
      <c r="S270" s="37" t="b">
        <v>0</v>
      </c>
      <c r="T270" s="35"/>
      <c r="U270" s="37">
        <v>0</v>
      </c>
      <c r="V270" s="35"/>
      <c r="W270" s="35"/>
      <c r="X270" s="35"/>
      <c r="Y270" s="35"/>
      <c r="Z270" s="38"/>
      <c r="AA270" s="36"/>
      <c r="AB270" s="39">
        <v>41493.517326388886</v>
      </c>
      <c r="AC270" s="40">
        <v>131</v>
      </c>
      <c r="AD270" s="36" t="s">
        <v>103</v>
      </c>
      <c r="AE270" s="35" t="s">
        <v>104</v>
      </c>
      <c r="AF270" s="35" t="s">
        <v>105</v>
      </c>
    </row>
    <row r="271" spans="1:38" hidden="1">
      <c r="A271" s="35" t="s">
        <v>499</v>
      </c>
      <c r="B271" s="35" t="s">
        <v>500</v>
      </c>
      <c r="C271" s="36" t="s">
        <v>490</v>
      </c>
      <c r="D271" s="35"/>
      <c r="E271" s="37" t="b">
        <v>0</v>
      </c>
      <c r="F271" s="37" t="b">
        <v>1</v>
      </c>
      <c r="G271" s="37"/>
      <c r="H271" s="35"/>
      <c r="I271" s="37">
        <v>0</v>
      </c>
      <c r="J271" s="37"/>
      <c r="K271" s="36" t="s">
        <v>101</v>
      </c>
      <c r="L271" s="37">
        <v>0</v>
      </c>
      <c r="M271" s="35"/>
      <c r="N271" s="35"/>
      <c r="O271" s="36" t="s">
        <v>102</v>
      </c>
      <c r="P271" s="37" t="b">
        <v>0</v>
      </c>
      <c r="Q271" s="37">
        <v>0</v>
      </c>
      <c r="R271" s="37">
        <v>0</v>
      </c>
      <c r="S271" s="37" t="b">
        <v>0</v>
      </c>
      <c r="T271" s="35"/>
      <c r="U271" s="37">
        <v>0</v>
      </c>
      <c r="V271" s="35"/>
      <c r="W271" s="35"/>
      <c r="X271" s="35"/>
      <c r="Y271" s="35"/>
      <c r="Z271" s="38"/>
      <c r="AA271" s="36"/>
      <c r="AB271" s="39">
        <v>41493.517361111109</v>
      </c>
      <c r="AC271" s="40">
        <v>132</v>
      </c>
      <c r="AD271" s="36" t="s">
        <v>103</v>
      </c>
      <c r="AE271" s="35" t="s">
        <v>104</v>
      </c>
      <c r="AF271" s="35" t="s">
        <v>105</v>
      </c>
    </row>
    <row r="272" spans="1:38">
      <c r="A272" s="35" t="s">
        <v>501</v>
      </c>
      <c r="B272" s="35" t="s">
        <v>502</v>
      </c>
      <c r="C272" s="36" t="s">
        <v>490</v>
      </c>
      <c r="D272" s="35" t="s">
        <v>503</v>
      </c>
      <c r="E272" s="37" t="b">
        <v>1</v>
      </c>
      <c r="F272" s="37" t="b">
        <v>0</v>
      </c>
      <c r="G272" s="37"/>
      <c r="H272" s="35" t="s">
        <v>504</v>
      </c>
      <c r="I272" s="37">
        <v>25</v>
      </c>
      <c r="J272" s="37">
        <v>480</v>
      </c>
      <c r="K272" s="36" t="s">
        <v>138</v>
      </c>
      <c r="L272" s="37">
        <v>0</v>
      </c>
      <c r="M272" s="35"/>
      <c r="N272" s="35"/>
      <c r="O272" s="36" t="s">
        <v>102</v>
      </c>
      <c r="P272" s="37" t="b">
        <v>0</v>
      </c>
      <c r="Q272" s="37">
        <f>25*0.75</f>
        <v>18.75</v>
      </c>
      <c r="R272" s="37">
        <v>0</v>
      </c>
      <c r="S272" s="37" t="b">
        <v>0</v>
      </c>
      <c r="T272" s="35"/>
      <c r="U272" s="37">
        <v>0</v>
      </c>
      <c r="V272" s="35"/>
      <c r="W272" s="35"/>
      <c r="X272" s="35"/>
      <c r="Y272" s="35"/>
      <c r="Z272" s="38"/>
      <c r="AA272" s="36"/>
      <c r="AB272" s="39">
        <v>41481.485034722224</v>
      </c>
      <c r="AC272" s="40">
        <v>172</v>
      </c>
      <c r="AD272" s="36" t="s">
        <v>103</v>
      </c>
      <c r="AE272" s="35" t="s">
        <v>104</v>
      </c>
      <c r="AF272" s="35" t="s">
        <v>105</v>
      </c>
      <c r="AJ272" s="34">
        <f>835*30*0.000434/0.77/0.95</f>
        <v>14.862200956937798</v>
      </c>
      <c r="AK272" s="34">
        <v>0</v>
      </c>
      <c r="AL272" s="34" t="s">
        <v>550</v>
      </c>
    </row>
    <row r="273" spans="1:38">
      <c r="A273" s="35" t="s">
        <v>505</v>
      </c>
      <c r="B273" s="35" t="s">
        <v>506</v>
      </c>
      <c r="C273" s="36" t="s">
        <v>490</v>
      </c>
      <c r="D273" s="35" t="s">
        <v>503</v>
      </c>
      <c r="E273" s="37" t="b">
        <v>1</v>
      </c>
      <c r="F273" s="37" t="b">
        <v>0</v>
      </c>
      <c r="G273" s="37"/>
      <c r="H273" s="35" t="s">
        <v>504</v>
      </c>
      <c r="I273" s="37">
        <v>25</v>
      </c>
      <c r="J273" s="37">
        <v>480</v>
      </c>
      <c r="K273" s="36" t="s">
        <v>138</v>
      </c>
      <c r="L273" s="37">
        <v>0</v>
      </c>
      <c r="M273" s="35"/>
      <c r="N273" s="35"/>
      <c r="O273" s="36" t="s">
        <v>102</v>
      </c>
      <c r="P273" s="37" t="b">
        <v>0</v>
      </c>
      <c r="Q273" s="37">
        <f>25*0.75</f>
        <v>18.75</v>
      </c>
      <c r="R273" s="37">
        <v>0</v>
      </c>
      <c r="S273" s="37" t="b">
        <v>0</v>
      </c>
      <c r="T273" s="35"/>
      <c r="U273" s="37">
        <v>0</v>
      </c>
      <c r="V273" s="35"/>
      <c r="W273" s="35"/>
      <c r="X273" s="35"/>
      <c r="Y273" s="35"/>
      <c r="Z273" s="38"/>
      <c r="AA273" s="36"/>
      <c r="AB273" s="39">
        <v>41481.485115740739</v>
      </c>
      <c r="AC273" s="40">
        <v>173</v>
      </c>
      <c r="AD273" s="36" t="s">
        <v>103</v>
      </c>
      <c r="AE273" s="35" t="s">
        <v>104</v>
      </c>
      <c r="AF273" s="35" t="s">
        <v>105</v>
      </c>
      <c r="AJ273" s="34">
        <f>835*30*0.000434/0.77/0.95</f>
        <v>14.862200956937798</v>
      </c>
      <c r="AK273" s="34">
        <v>0</v>
      </c>
      <c r="AL273" s="34" t="s">
        <v>550</v>
      </c>
    </row>
    <row r="274" spans="1:38" hidden="1">
      <c r="A274" s="35" t="s">
        <v>507</v>
      </c>
      <c r="B274" s="35" t="s">
        <v>496</v>
      </c>
      <c r="C274" s="36" t="s">
        <v>490</v>
      </c>
      <c r="D274" s="35"/>
      <c r="E274" s="37" t="b">
        <v>1</v>
      </c>
      <c r="F274" s="37" t="b">
        <v>0</v>
      </c>
      <c r="G274" s="37" t="b">
        <v>1</v>
      </c>
      <c r="H274" s="35"/>
      <c r="I274" s="37">
        <v>400</v>
      </c>
      <c r="J274" s="37">
        <v>480</v>
      </c>
      <c r="K274" s="36" t="s">
        <v>101</v>
      </c>
      <c r="L274" s="37">
        <v>0</v>
      </c>
      <c r="M274" s="35"/>
      <c r="N274" s="35"/>
      <c r="O274" s="36" t="s">
        <v>102</v>
      </c>
      <c r="P274" s="37" t="b">
        <v>0</v>
      </c>
      <c r="Q274" s="37">
        <v>298.27960000000002</v>
      </c>
      <c r="R274" s="37">
        <v>0</v>
      </c>
      <c r="S274" s="37" t="b">
        <v>0</v>
      </c>
      <c r="T274" s="35"/>
      <c r="U274" s="37">
        <v>0</v>
      </c>
      <c r="V274" s="35"/>
      <c r="W274" s="35"/>
      <c r="X274" s="35"/>
      <c r="Y274" s="35"/>
      <c r="Z274" s="38"/>
      <c r="AA274" s="36"/>
      <c r="AB274" s="39">
        <v>41492.691932870373</v>
      </c>
      <c r="AC274" s="40">
        <v>305</v>
      </c>
      <c r="AD274" s="36" t="s">
        <v>103</v>
      </c>
      <c r="AE274" s="35" t="s">
        <v>104</v>
      </c>
      <c r="AF274" s="35" t="s">
        <v>105</v>
      </c>
    </row>
    <row r="275" spans="1:38">
      <c r="A275" s="35"/>
      <c r="B275" s="35" t="s">
        <v>508</v>
      </c>
      <c r="C275" s="36" t="s">
        <v>509</v>
      </c>
      <c r="D275" s="35"/>
      <c r="E275" s="37" t="b">
        <v>1</v>
      </c>
      <c r="F275" s="37" t="b">
        <v>0</v>
      </c>
      <c r="G275" s="37"/>
      <c r="H275" s="35"/>
      <c r="I275" s="37">
        <v>2</v>
      </c>
      <c r="J275" s="37">
        <v>208</v>
      </c>
      <c r="K275" s="36" t="s">
        <v>138</v>
      </c>
      <c r="L275" s="37">
        <v>1.7</v>
      </c>
      <c r="M275" s="35"/>
      <c r="N275" s="35"/>
      <c r="O275" s="36" t="s">
        <v>110</v>
      </c>
      <c r="P275" s="37" t="b">
        <v>0</v>
      </c>
      <c r="Q275" s="37">
        <v>1.491398</v>
      </c>
      <c r="R275" s="37">
        <v>1.2676883000000001</v>
      </c>
      <c r="S275" s="37" t="b">
        <v>0</v>
      </c>
      <c r="T275" s="35"/>
      <c r="U275" s="37">
        <v>0</v>
      </c>
      <c r="V275" s="35"/>
      <c r="W275" s="35"/>
      <c r="X275" s="35"/>
      <c r="Y275" s="35"/>
      <c r="Z275" s="38"/>
      <c r="AA275" s="36"/>
      <c r="AB275" s="39">
        <v>41481.473020833335</v>
      </c>
      <c r="AC275" s="40">
        <v>212</v>
      </c>
      <c r="AD275" s="36" t="s">
        <v>103</v>
      </c>
      <c r="AE275" s="35" t="s">
        <v>104</v>
      </c>
      <c r="AF275" s="35" t="s">
        <v>105</v>
      </c>
      <c r="AJ275" s="34">
        <f>Table_owssvr_1[[#This Row],[Total Expected Load (kW)]]</f>
        <v>1.2676883000000001</v>
      </c>
      <c r="AK275" s="34">
        <f>Table_owssvr_1[[#This Row],[Total Expected Load (kW)]]</f>
        <v>1.2676883000000001</v>
      </c>
    </row>
    <row r="276" spans="1:38">
      <c r="A276" s="35"/>
      <c r="B276" s="35" t="s">
        <v>510</v>
      </c>
      <c r="C276" s="36" t="s">
        <v>509</v>
      </c>
      <c r="D276" s="35" t="s">
        <v>511</v>
      </c>
      <c r="E276" s="37" t="b">
        <v>1</v>
      </c>
      <c r="F276" s="37" t="b">
        <v>0</v>
      </c>
      <c r="G276" s="37"/>
      <c r="H276" s="35"/>
      <c r="I276" s="37">
        <v>0</v>
      </c>
      <c r="J276" s="37">
        <v>480</v>
      </c>
      <c r="K276" s="36" t="s">
        <v>101</v>
      </c>
      <c r="L276" s="103">
        <v>0</v>
      </c>
      <c r="M276" s="35"/>
      <c r="N276" s="35"/>
      <c r="O276" s="36" t="s">
        <v>110</v>
      </c>
      <c r="P276" s="37" t="b">
        <v>0</v>
      </c>
      <c r="Q276" s="97">
        <v>15</v>
      </c>
      <c r="R276" s="37">
        <v>0</v>
      </c>
      <c r="S276" s="37" t="b">
        <v>0</v>
      </c>
      <c r="T276" s="35"/>
      <c r="U276" s="37">
        <v>0</v>
      </c>
      <c r="V276" s="35"/>
      <c r="W276" s="35"/>
      <c r="X276" s="35"/>
      <c r="Y276" s="35"/>
      <c r="Z276" s="38"/>
      <c r="AA276" s="36"/>
      <c r="AB276" s="39">
        <v>41484.429618055554</v>
      </c>
      <c r="AC276" s="40">
        <v>298</v>
      </c>
      <c r="AD276" s="36" t="s">
        <v>103</v>
      </c>
      <c r="AE276" s="35" t="s">
        <v>104</v>
      </c>
      <c r="AF276" s="35" t="s">
        <v>105</v>
      </c>
      <c r="AJ276" s="34">
        <v>15</v>
      </c>
      <c r="AK276" s="34">
        <v>0</v>
      </c>
      <c r="AL276" s="34" t="s">
        <v>629</v>
      </c>
    </row>
    <row r="277" spans="1:38" hidden="1">
      <c r="A277" s="35"/>
      <c r="B277" s="35" t="s">
        <v>512</v>
      </c>
      <c r="C277" s="36" t="s">
        <v>513</v>
      </c>
      <c r="D277" s="35"/>
      <c r="E277" s="37" t="b">
        <v>1</v>
      </c>
      <c r="F277" s="37" t="b">
        <v>0</v>
      </c>
      <c r="G277" s="37"/>
      <c r="H277" s="35"/>
      <c r="I277" s="37">
        <v>0</v>
      </c>
      <c r="J277" s="37"/>
      <c r="K277" s="36" t="s">
        <v>101</v>
      </c>
      <c r="L277" s="37">
        <v>0</v>
      </c>
      <c r="M277" s="35"/>
      <c r="N277" s="35"/>
      <c r="O277" s="36" t="s">
        <v>102</v>
      </c>
      <c r="P277" s="37" t="b">
        <v>0</v>
      </c>
      <c r="Q277" s="37">
        <v>0</v>
      </c>
      <c r="R277" s="37">
        <v>0</v>
      </c>
      <c r="S277" s="37" t="b">
        <v>0</v>
      </c>
      <c r="T277" s="35"/>
      <c r="U277" s="37">
        <v>0</v>
      </c>
      <c r="V277" s="35"/>
      <c r="W277" s="35"/>
      <c r="X277" s="35"/>
      <c r="Y277" s="35"/>
      <c r="Z277" s="38"/>
      <c r="AA277" s="36"/>
      <c r="AB277" s="39">
        <v>41481.473020833335</v>
      </c>
      <c r="AC277" s="40">
        <v>103</v>
      </c>
      <c r="AD277" s="36" t="s">
        <v>103</v>
      </c>
      <c r="AE277" s="35" t="s">
        <v>104</v>
      </c>
      <c r="AF277" s="35" t="s">
        <v>105</v>
      </c>
    </row>
    <row r="278" spans="1:38">
      <c r="A278" s="35" t="s">
        <v>514</v>
      </c>
      <c r="B278" s="35" t="s">
        <v>515</v>
      </c>
      <c r="C278" s="36" t="s">
        <v>516</v>
      </c>
      <c r="D278" s="35"/>
      <c r="E278" s="37" t="b">
        <v>1</v>
      </c>
      <c r="F278" s="37" t="b">
        <v>0</v>
      </c>
      <c r="G278" s="37"/>
      <c r="H278" s="35"/>
      <c r="I278" s="37">
        <v>60</v>
      </c>
      <c r="J278" s="37">
        <v>480</v>
      </c>
      <c r="K278" s="36" t="s">
        <v>101</v>
      </c>
      <c r="L278" s="37">
        <v>0</v>
      </c>
      <c r="M278" s="35" t="s">
        <v>517</v>
      </c>
      <c r="N278" s="35" t="s">
        <v>517</v>
      </c>
      <c r="O278" s="36" t="s">
        <v>102</v>
      </c>
      <c r="P278" s="37" t="b">
        <v>0</v>
      </c>
      <c r="Q278" s="37">
        <v>44.74194</v>
      </c>
      <c r="R278" s="37">
        <v>0</v>
      </c>
      <c r="S278" s="37" t="b">
        <v>0</v>
      </c>
      <c r="T278" s="35"/>
      <c r="U278" s="37"/>
      <c r="V278" s="35" t="s">
        <v>175</v>
      </c>
      <c r="W278" s="35" t="s">
        <v>518</v>
      </c>
      <c r="X278" s="35" t="s">
        <v>519</v>
      </c>
      <c r="Y278" s="35" t="s">
        <v>178</v>
      </c>
      <c r="Z278" s="38"/>
      <c r="AA278" s="36"/>
      <c r="AB278" s="39">
        <v>41493.42690972222</v>
      </c>
      <c r="AC278" s="40">
        <v>36</v>
      </c>
      <c r="AD278" s="36" t="s">
        <v>103</v>
      </c>
      <c r="AE278" s="35" t="s">
        <v>104</v>
      </c>
      <c r="AF278" s="35" t="s">
        <v>105</v>
      </c>
      <c r="AJ278" s="44">
        <f>4167*30*0.000434/0.7/0.95</f>
        <v>81.585473684210541</v>
      </c>
      <c r="AK278" s="34">
        <v>0</v>
      </c>
      <c r="AL278" s="34" t="s">
        <v>549</v>
      </c>
    </row>
    <row r="279" spans="1:38">
      <c r="A279" s="35" t="s">
        <v>520</v>
      </c>
      <c r="B279" s="35" t="s">
        <v>521</v>
      </c>
      <c r="C279" s="36" t="s">
        <v>516</v>
      </c>
      <c r="D279" s="35"/>
      <c r="E279" s="37" t="b">
        <v>0</v>
      </c>
      <c r="F279" s="37" t="b">
        <v>1</v>
      </c>
      <c r="G279" s="37"/>
      <c r="H279" s="35"/>
      <c r="I279" s="37">
        <v>60</v>
      </c>
      <c r="J279" s="37">
        <v>480</v>
      </c>
      <c r="K279" s="36" t="s">
        <v>101</v>
      </c>
      <c r="L279" s="37">
        <v>0</v>
      </c>
      <c r="M279" s="35" t="s">
        <v>517</v>
      </c>
      <c r="N279" s="35" t="s">
        <v>517</v>
      </c>
      <c r="O279" s="36" t="s">
        <v>102</v>
      </c>
      <c r="P279" s="37" t="b">
        <v>0</v>
      </c>
      <c r="Q279" s="37">
        <v>44.74194</v>
      </c>
      <c r="R279" s="37">
        <v>0</v>
      </c>
      <c r="S279" s="37" t="b">
        <v>0</v>
      </c>
      <c r="T279" s="35"/>
      <c r="U279" s="37">
        <v>0</v>
      </c>
      <c r="V279" s="35" t="s">
        <v>175</v>
      </c>
      <c r="W279" s="35" t="s">
        <v>518</v>
      </c>
      <c r="X279" s="35" t="s">
        <v>519</v>
      </c>
      <c r="Y279" s="35" t="s">
        <v>178</v>
      </c>
      <c r="Z279" s="38"/>
      <c r="AA279" s="36"/>
      <c r="AB279" s="39">
        <v>41493.42695601852</v>
      </c>
      <c r="AC279" s="40">
        <v>37</v>
      </c>
      <c r="AD279" s="36" t="s">
        <v>103</v>
      </c>
      <c r="AE279" s="35" t="s">
        <v>104</v>
      </c>
      <c r="AF279" s="35" t="s">
        <v>105</v>
      </c>
      <c r="AJ279" s="44">
        <v>0</v>
      </c>
      <c r="AK279" s="34">
        <v>0</v>
      </c>
      <c r="AL279" s="34" t="s">
        <v>557</v>
      </c>
    </row>
    <row r="280" spans="1:38" hidden="1">
      <c r="A280" s="35"/>
      <c r="B280" s="35" t="s">
        <v>522</v>
      </c>
      <c r="C280" s="36" t="s">
        <v>523</v>
      </c>
      <c r="D280" s="35"/>
      <c r="E280" s="37" t="b">
        <v>1</v>
      </c>
      <c r="F280" s="37" t="b">
        <v>0</v>
      </c>
      <c r="G280" s="37"/>
      <c r="H280" s="35"/>
      <c r="I280" s="37">
        <v>0</v>
      </c>
      <c r="J280" s="37"/>
      <c r="K280" s="36" t="s">
        <v>101</v>
      </c>
      <c r="L280" s="37">
        <v>0</v>
      </c>
      <c r="M280" s="35"/>
      <c r="N280" s="35"/>
      <c r="O280" s="36" t="s">
        <v>102</v>
      </c>
      <c r="P280" s="37" t="b">
        <v>0</v>
      </c>
      <c r="Q280" s="37">
        <v>0</v>
      </c>
      <c r="R280" s="37">
        <v>0</v>
      </c>
      <c r="S280" s="37" t="b">
        <v>0</v>
      </c>
      <c r="T280" s="35"/>
      <c r="U280" s="37">
        <v>0</v>
      </c>
      <c r="V280" s="35"/>
      <c r="W280" s="35"/>
      <c r="X280" s="35"/>
      <c r="Y280" s="35"/>
      <c r="Z280" s="38"/>
      <c r="AA280" s="36"/>
      <c r="AB280" s="39">
        <v>41481.473020833335</v>
      </c>
      <c r="AC280" s="40">
        <v>99</v>
      </c>
      <c r="AD280" s="36" t="s">
        <v>103</v>
      </c>
      <c r="AE280" s="35" t="s">
        <v>104</v>
      </c>
      <c r="AF280" s="35" t="s">
        <v>105</v>
      </c>
    </row>
    <row r="281" spans="1:38" hidden="1">
      <c r="A281" s="35"/>
      <c r="B281" s="35" t="s">
        <v>524</v>
      </c>
      <c r="C281" s="36" t="s">
        <v>523</v>
      </c>
      <c r="D281" s="35" t="s">
        <v>525</v>
      </c>
      <c r="E281" s="37" t="b">
        <v>1</v>
      </c>
      <c r="F281" s="37" t="b">
        <v>0</v>
      </c>
      <c r="G281" s="37"/>
      <c r="H281" s="35"/>
      <c r="I281" s="37">
        <v>0</v>
      </c>
      <c r="J281" s="37"/>
      <c r="K281" s="36" t="s">
        <v>101</v>
      </c>
      <c r="L281" s="37">
        <v>0</v>
      </c>
      <c r="M281" s="35" t="s">
        <v>526</v>
      </c>
      <c r="N281" s="35"/>
      <c r="O281" s="36" t="s">
        <v>102</v>
      </c>
      <c r="P281" s="37" t="b">
        <v>0</v>
      </c>
      <c r="Q281" s="37">
        <v>0</v>
      </c>
      <c r="R281" s="37">
        <v>0</v>
      </c>
      <c r="S281" s="37" t="b">
        <v>0</v>
      </c>
      <c r="T281" s="35"/>
      <c r="U281" s="37">
        <v>0</v>
      </c>
      <c r="V281" s="35"/>
      <c r="W281" s="35"/>
      <c r="X281" s="35"/>
      <c r="Y281" s="35"/>
      <c r="Z281" s="38"/>
      <c r="AA281" s="36"/>
      <c r="AB281" s="39">
        <v>41481.473020833335</v>
      </c>
      <c r="AC281" s="40">
        <v>100</v>
      </c>
      <c r="AD281" s="36" t="s">
        <v>103</v>
      </c>
      <c r="AE281" s="35" t="s">
        <v>104</v>
      </c>
      <c r="AF281" s="35" t="s">
        <v>105</v>
      </c>
    </row>
    <row r="282" spans="1:38" hidden="1">
      <c r="A282" s="35"/>
      <c r="B282" s="35" t="s">
        <v>527</v>
      </c>
      <c r="C282" s="36" t="s">
        <v>523</v>
      </c>
      <c r="D282" s="35"/>
      <c r="E282" s="37" t="b">
        <v>1</v>
      </c>
      <c r="F282" s="37" t="b">
        <v>0</v>
      </c>
      <c r="G282" s="37"/>
      <c r="H282" s="35"/>
      <c r="I282" s="37">
        <v>0</v>
      </c>
      <c r="J282" s="37"/>
      <c r="K282" s="36" t="s">
        <v>101</v>
      </c>
      <c r="L282" s="37">
        <v>0</v>
      </c>
      <c r="M282" s="35"/>
      <c r="N282" s="35"/>
      <c r="O282" s="36" t="s">
        <v>102</v>
      </c>
      <c r="P282" s="37" t="b">
        <v>0</v>
      </c>
      <c r="Q282" s="37">
        <v>0</v>
      </c>
      <c r="R282" s="37">
        <v>0</v>
      </c>
      <c r="S282" s="37" t="b">
        <v>0</v>
      </c>
      <c r="T282" s="35"/>
      <c r="U282" s="37">
        <v>0</v>
      </c>
      <c r="V282" s="35"/>
      <c r="W282" s="35"/>
      <c r="X282" s="35"/>
      <c r="Y282" s="35"/>
      <c r="Z282" s="38"/>
      <c r="AA282" s="36"/>
      <c r="AB282" s="39">
        <v>41481.473020833335</v>
      </c>
      <c r="AC282" s="40">
        <v>123</v>
      </c>
      <c r="AD282" s="36" t="s">
        <v>103</v>
      </c>
      <c r="AE282" s="35" t="s">
        <v>104</v>
      </c>
      <c r="AF282" s="35" t="s">
        <v>105</v>
      </c>
    </row>
    <row r="283" spans="1:38" hidden="1">
      <c r="A283" s="35"/>
      <c r="B283" s="35" t="s">
        <v>528</v>
      </c>
      <c r="C283" s="36" t="s">
        <v>523</v>
      </c>
      <c r="D283" s="35"/>
      <c r="E283" s="37" t="b">
        <v>1</v>
      </c>
      <c r="F283" s="37" t="b">
        <v>0</v>
      </c>
      <c r="G283" s="37"/>
      <c r="H283" s="35"/>
      <c r="I283" s="37">
        <v>0</v>
      </c>
      <c r="J283" s="37"/>
      <c r="K283" s="36" t="s">
        <v>101</v>
      </c>
      <c r="L283" s="37">
        <v>0</v>
      </c>
      <c r="M283" s="35"/>
      <c r="N283" s="35"/>
      <c r="O283" s="36" t="s">
        <v>102</v>
      </c>
      <c r="P283" s="37" t="b">
        <v>0</v>
      </c>
      <c r="Q283" s="37">
        <v>0</v>
      </c>
      <c r="R283" s="37">
        <v>0</v>
      </c>
      <c r="S283" s="37" t="b">
        <v>0</v>
      </c>
      <c r="T283" s="35"/>
      <c r="U283" s="37">
        <v>0</v>
      </c>
      <c r="V283" s="35"/>
      <c r="W283" s="35"/>
      <c r="X283" s="35"/>
      <c r="Y283" s="35"/>
      <c r="Z283" s="38"/>
      <c r="AA283" s="36"/>
      <c r="AB283" s="39">
        <v>41481.473020833335</v>
      </c>
      <c r="AC283" s="40">
        <v>124</v>
      </c>
      <c r="AD283" s="36" t="s">
        <v>103</v>
      </c>
      <c r="AE283" s="35" t="s">
        <v>104</v>
      </c>
      <c r="AF283" s="35" t="s">
        <v>105</v>
      </c>
    </row>
    <row r="284" spans="1:38" hidden="1">
      <c r="A284" s="35"/>
      <c r="B284" s="35" t="s">
        <v>529</v>
      </c>
      <c r="C284" s="36" t="s">
        <v>523</v>
      </c>
      <c r="D284" s="35"/>
      <c r="E284" s="37" t="b">
        <v>1</v>
      </c>
      <c r="F284" s="37" t="b">
        <v>0</v>
      </c>
      <c r="G284" s="37"/>
      <c r="H284" s="35"/>
      <c r="I284" s="37">
        <v>0</v>
      </c>
      <c r="J284" s="37"/>
      <c r="K284" s="36" t="s">
        <v>101</v>
      </c>
      <c r="L284" s="37">
        <v>0</v>
      </c>
      <c r="M284" s="35"/>
      <c r="N284" s="35"/>
      <c r="O284" s="36" t="s">
        <v>102</v>
      </c>
      <c r="P284" s="37" t="b">
        <v>0</v>
      </c>
      <c r="Q284" s="37">
        <v>0</v>
      </c>
      <c r="R284" s="37">
        <v>0</v>
      </c>
      <c r="S284" s="37" t="b">
        <v>0</v>
      </c>
      <c r="T284" s="35"/>
      <c r="U284" s="37">
        <v>0</v>
      </c>
      <c r="V284" s="35"/>
      <c r="W284" s="35"/>
      <c r="X284" s="35"/>
      <c r="Y284" s="35"/>
      <c r="Z284" s="38"/>
      <c r="AA284" s="36"/>
      <c r="AB284" s="39">
        <v>41481.473020833335</v>
      </c>
      <c r="AC284" s="40">
        <v>125</v>
      </c>
      <c r="AD284" s="36" t="s">
        <v>103</v>
      </c>
      <c r="AE284" s="35" t="s">
        <v>104</v>
      </c>
      <c r="AF284" s="35" t="s">
        <v>105</v>
      </c>
    </row>
    <row r="285" spans="1:38" hidden="1">
      <c r="A285" s="35"/>
      <c r="B285" s="35" t="s">
        <v>530</v>
      </c>
      <c r="C285" s="36" t="s">
        <v>523</v>
      </c>
      <c r="D285" s="35"/>
      <c r="E285" s="37" t="b">
        <v>1</v>
      </c>
      <c r="F285" s="37" t="b">
        <v>0</v>
      </c>
      <c r="G285" s="37"/>
      <c r="H285" s="35"/>
      <c r="I285" s="37">
        <v>0</v>
      </c>
      <c r="J285" s="37"/>
      <c r="K285" s="36" t="s">
        <v>101</v>
      </c>
      <c r="L285" s="37">
        <v>0</v>
      </c>
      <c r="M285" s="35"/>
      <c r="N285" s="35"/>
      <c r="O285" s="36" t="s">
        <v>102</v>
      </c>
      <c r="P285" s="37" t="b">
        <v>0</v>
      </c>
      <c r="Q285" s="37">
        <v>0</v>
      </c>
      <c r="R285" s="37">
        <v>0</v>
      </c>
      <c r="S285" s="37" t="b">
        <v>0</v>
      </c>
      <c r="T285" s="35"/>
      <c r="U285" s="37">
        <v>0</v>
      </c>
      <c r="V285" s="35"/>
      <c r="W285" s="35"/>
      <c r="X285" s="35"/>
      <c r="Y285" s="35"/>
      <c r="Z285" s="38"/>
      <c r="AA285" s="36"/>
      <c r="AB285" s="39">
        <v>41481.473020833335</v>
      </c>
      <c r="AC285" s="40">
        <v>126</v>
      </c>
      <c r="AD285" s="36" t="s">
        <v>103</v>
      </c>
      <c r="AE285" s="35" t="s">
        <v>104</v>
      </c>
      <c r="AF285" s="35" t="s">
        <v>105</v>
      </c>
    </row>
    <row r="286" spans="1:38" hidden="1">
      <c r="A286" s="35"/>
      <c r="B286" s="35" t="s">
        <v>531</v>
      </c>
      <c r="C286" s="36" t="s">
        <v>523</v>
      </c>
      <c r="D286" s="35"/>
      <c r="E286" s="37" t="b">
        <v>1</v>
      </c>
      <c r="F286" s="37" t="b">
        <v>1</v>
      </c>
      <c r="G286" s="37"/>
      <c r="H286" s="35"/>
      <c r="I286" s="37">
        <v>0</v>
      </c>
      <c r="J286" s="37"/>
      <c r="K286" s="36" t="s">
        <v>101</v>
      </c>
      <c r="L286" s="37">
        <v>0</v>
      </c>
      <c r="M286" s="35"/>
      <c r="N286" s="35"/>
      <c r="O286" s="36" t="s">
        <v>102</v>
      </c>
      <c r="P286" s="37" t="b">
        <v>0</v>
      </c>
      <c r="Q286" s="37">
        <v>0</v>
      </c>
      <c r="R286" s="37">
        <v>0</v>
      </c>
      <c r="S286" s="37" t="b">
        <v>0</v>
      </c>
      <c r="T286" s="35"/>
      <c r="U286" s="37">
        <v>0</v>
      </c>
      <c r="V286" s="35"/>
      <c r="W286" s="35"/>
      <c r="X286" s="35"/>
      <c r="Y286" s="35"/>
      <c r="Z286" s="38"/>
      <c r="AA286" s="36"/>
      <c r="AB286" s="39">
        <v>41493.435312499998</v>
      </c>
      <c r="AC286" s="40">
        <v>127</v>
      </c>
      <c r="AD286" s="36" t="s">
        <v>103</v>
      </c>
      <c r="AE286" s="35" t="s">
        <v>104</v>
      </c>
      <c r="AF286" s="35" t="s">
        <v>105</v>
      </c>
    </row>
    <row r="287" spans="1:38" hidden="1">
      <c r="A287" s="35"/>
      <c r="B287" s="35" t="s">
        <v>532</v>
      </c>
      <c r="C287" s="36" t="s">
        <v>523</v>
      </c>
      <c r="D287" s="35"/>
      <c r="E287" s="37" t="b">
        <v>0</v>
      </c>
      <c r="F287" s="37" t="b">
        <v>1</v>
      </c>
      <c r="G287" s="37"/>
      <c r="H287" s="35"/>
      <c r="I287" s="37">
        <v>0</v>
      </c>
      <c r="J287" s="37"/>
      <c r="K287" s="36" t="s">
        <v>101</v>
      </c>
      <c r="L287" s="37">
        <v>0</v>
      </c>
      <c r="M287" s="35"/>
      <c r="N287" s="35"/>
      <c r="O287" s="36" t="s">
        <v>102</v>
      </c>
      <c r="P287" s="37" t="b">
        <v>0</v>
      </c>
      <c r="Q287" s="37">
        <v>0</v>
      </c>
      <c r="R287" s="37">
        <v>0</v>
      </c>
      <c r="S287" s="37" t="b">
        <v>0</v>
      </c>
      <c r="T287" s="35"/>
      <c r="U287" s="37">
        <v>0</v>
      </c>
      <c r="V287" s="35"/>
      <c r="W287" s="35"/>
      <c r="X287" s="35"/>
      <c r="Y287" s="35"/>
      <c r="Z287" s="38"/>
      <c r="AA287" s="36"/>
      <c r="AB287" s="39">
        <v>41481.473020833335</v>
      </c>
      <c r="AC287" s="40">
        <v>128</v>
      </c>
      <c r="AD287" s="36" t="s">
        <v>103</v>
      </c>
      <c r="AE287" s="35" t="s">
        <v>104</v>
      </c>
      <c r="AF287" s="35" t="s">
        <v>105</v>
      </c>
    </row>
    <row r="291" spans="2:39">
      <c r="AI291" s="34" t="s">
        <v>55</v>
      </c>
      <c r="AJ291" s="34">
        <f>SUM(AJ5:AJ290)</f>
        <v>1419.9683604786264</v>
      </c>
      <c r="AK291" s="34">
        <f>SUM(AK5:AK290)</f>
        <v>733.41643583099062</v>
      </c>
    </row>
    <row r="293" spans="2:39">
      <c r="AI293" s="34" t="s">
        <v>55</v>
      </c>
      <c r="AJ293" s="34">
        <f>AJ291*24/6666*1000/1440</f>
        <v>3.5502759287894454</v>
      </c>
      <c r="AK293" s="34">
        <f>AK291*24/6666*1000/1440</f>
        <v>1.8337244620236788</v>
      </c>
      <c r="AL293" s="34" t="s">
        <v>569</v>
      </c>
    </row>
    <row r="296" spans="2:39">
      <c r="B296" s="34" t="s">
        <v>585</v>
      </c>
      <c r="AJ296" s="34">
        <v>90</v>
      </c>
      <c r="AK296" s="34">
        <f>AJ296</f>
        <v>90</v>
      </c>
      <c r="AM296" s="34" t="s">
        <v>586</v>
      </c>
    </row>
    <row r="297" spans="2:39">
      <c r="AI297" s="34" t="s">
        <v>589</v>
      </c>
      <c r="AJ297" s="34">
        <f>AJ296*24/6666*1000/1440</f>
        <v>0.22502250225022502</v>
      </c>
      <c r="AL297" s="34" t="s">
        <v>569</v>
      </c>
    </row>
    <row r="298" spans="2:39">
      <c r="AH298" s="34" t="s">
        <v>587</v>
      </c>
      <c r="AI298" s="34" t="s">
        <v>588</v>
      </c>
      <c r="AJ298" s="34">
        <f>0.19*3.78</f>
        <v>0.71819999999999995</v>
      </c>
      <c r="AL298" s="34" t="s">
        <v>569</v>
      </c>
    </row>
  </sheetData>
  <mergeCells count="1">
    <mergeCell ref="AJ1:AK1"/>
  </mergeCells>
  <pageMargins left="0.7" right="0.7" top="0.75" bottom="0.75" header="0.3" footer="0.3"/>
  <pageSetup orientation="portrait" verticalDpi="0"/>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Energy Calcs</vt:lpstr>
      <vt:lpstr>RO Projections</vt:lpstr>
      <vt:lpstr>Equipment &amp; Load List</vt:lpstr>
      <vt:lpstr>'Energy Calcs'!Print_Area</vt:lpstr>
      <vt:lpstr>'RO Projections'!Print_Area</vt:lpstr>
    </vt:vector>
  </TitlesOfParts>
  <Company>CH2M HILL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Alt</dc:creator>
  <cp:lastModifiedBy>Steven Alt</cp:lastModifiedBy>
  <cp:lastPrinted>2013-10-10T16:32:58Z</cp:lastPrinted>
  <dcterms:created xsi:type="dcterms:W3CDTF">2013-06-11T20:35:17Z</dcterms:created>
  <dcterms:modified xsi:type="dcterms:W3CDTF">2013-10-10T20:16:08Z</dcterms:modified>
</cp:coreProperties>
</file>